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124226"/>
  <mc:AlternateContent xmlns:mc="http://schemas.openxmlformats.org/markup-compatibility/2006">
    <mc:Choice Requires="x15">
      <x15ac:absPath xmlns:x15ac="http://schemas.microsoft.com/office/spreadsheetml/2010/11/ac" url="https://corvivienda-my.sharepoint.com/personal/mipg_corvivienda_gov_co/Documents/25.RIESGOS/2024/Excel Monitoreo x Proceso/"/>
    </mc:Choice>
  </mc:AlternateContent>
  <xr:revisionPtr revIDLastSave="3" documentId="13_ncr:1_{6DA7C37F-2B20-4C9D-8A59-4C59EE960A38}" xr6:coauthVersionLast="47" xr6:coauthVersionMax="47" xr10:uidLastSave="{DCA0681F-A35C-412B-8CF6-B3B00C366D42}"/>
  <bookViews>
    <workbookView xWindow="-108" yWindow="-108" windowWidth="23256" windowHeight="12456" tabRatio="825"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definedNames>
    <definedName name="_xlnm._FilterDatabase" localSheetId="1" hidden="1">'Mapa final'!$A$10:$BS$27</definedName>
    <definedName name="_xlnm.Print_Area" localSheetId="1">'Mapa final'!$A$1:$AM$30</definedName>
  </definedNames>
  <calcPr calcId="191029"/>
  <pivotCaches>
    <pivotCache cacheId="8"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1" l="1"/>
  <c r="J11" i="1" s="1"/>
  <c r="R17" i="1"/>
  <c r="U17" i="1"/>
  <c r="R16" i="1"/>
  <c r="R15" i="1"/>
  <c r="R14" i="1"/>
  <c r="R13" i="1"/>
  <c r="R12" i="1"/>
  <c r="R11" i="1"/>
  <c r="U11" i="1"/>
  <c r="U12" i="1"/>
  <c r="U13" i="1"/>
  <c r="U14" i="1"/>
  <c r="U15" i="1"/>
  <c r="U16" i="1"/>
  <c r="R27" i="1"/>
  <c r="U27" i="1"/>
  <c r="I27" i="1"/>
  <c r="J27" i="1" s="1"/>
  <c r="R26" i="1"/>
  <c r="U26" i="1"/>
  <c r="I26" i="1"/>
  <c r="R25" i="1"/>
  <c r="U25" i="1"/>
  <c r="I25" i="1"/>
  <c r="J25" i="1" s="1"/>
  <c r="I24" i="1"/>
  <c r="J24" i="1" s="1"/>
  <c r="R24" i="1"/>
  <c r="U24" i="1"/>
  <c r="R18" i="1"/>
  <c r="U18" i="1"/>
  <c r="I18" i="1"/>
  <c r="J18" i="1" s="1"/>
  <c r="R19" i="1"/>
  <c r="U19" i="1"/>
  <c r="I19" i="1"/>
  <c r="J19" i="1" s="1"/>
  <c r="R21" i="1"/>
  <c r="U21" i="1"/>
  <c r="I21" i="1"/>
  <c r="J21" i="1" s="1"/>
  <c r="R22" i="1"/>
  <c r="U22" i="1"/>
  <c r="I22" i="1"/>
  <c r="J22" i="1" s="1"/>
  <c r="R23" i="1"/>
  <c r="U23" i="1"/>
  <c r="I23" i="1"/>
  <c r="J23" i="1" s="1"/>
  <c r="R20" i="1"/>
  <c r="I16" i="1"/>
  <c r="J16" i="1" s="1"/>
  <c r="I17" i="1"/>
  <c r="I15" i="1"/>
  <c r="J15" i="1" s="1"/>
  <c r="I14" i="1"/>
  <c r="J14" i="1" s="1"/>
  <c r="I12" i="1"/>
  <c r="J12" i="1" s="1"/>
  <c r="I13" i="1"/>
  <c r="J13" i="1" s="1"/>
  <c r="I20" i="1"/>
  <c r="J20" i="1" s="1"/>
  <c r="U20" i="1"/>
  <c r="AJ3" i="1"/>
  <c r="AJ2" i="1"/>
  <c r="AJ1" i="1"/>
  <c r="F221" i="13"/>
  <c r="F211" i="13"/>
  <c r="F212" i="13"/>
  <c r="F213" i="13"/>
  <c r="F214" i="13"/>
  <c r="F215" i="13"/>
  <c r="F216" i="13"/>
  <c r="F217" i="13"/>
  <c r="F218" i="13"/>
  <c r="F219" i="13"/>
  <c r="F220" i="13"/>
  <c r="F210" i="13"/>
  <c r="B221" i="13" a="1"/>
  <c r="B221" i="13"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L16" i="18"/>
  <c r="R24" i="18"/>
  <c r="L8" i="18"/>
  <c r="R32" i="18"/>
  <c r="AJ16" i="18"/>
  <c r="R8" i="18"/>
  <c r="AD24" i="18"/>
  <c r="AJ32" i="18"/>
  <c r="AD8" i="18"/>
  <c r="X40" i="18"/>
  <c r="L32" i="18"/>
  <c r="X8" i="18"/>
  <c r="X24" i="18"/>
  <c r="AJ8" i="18"/>
  <c r="R40" i="18"/>
  <c r="L40" i="18"/>
  <c r="X16" i="18"/>
  <c r="L24" i="18"/>
  <c r="AJ24" i="18"/>
  <c r="X32" i="18"/>
  <c r="AJ40" i="18"/>
  <c r="R16" i="18"/>
  <c r="AD40" i="18"/>
  <c r="AD32" i="18"/>
  <c r="AD16" i="18"/>
  <c r="J42" i="18"/>
  <c r="P34" i="18"/>
  <c r="AB18" i="18"/>
  <c r="AB42" i="18"/>
  <c r="AH34" i="18"/>
  <c r="P10" i="18"/>
  <c r="V34" i="18"/>
  <c r="P42" i="18"/>
  <c r="V42" i="18"/>
  <c r="AH42" i="18"/>
  <c r="AB26" i="18"/>
  <c r="AH26" i="18"/>
  <c r="V26" i="18"/>
  <c r="AB34" i="18"/>
  <c r="V10" i="18"/>
  <c r="AH18" i="18"/>
  <c r="J34" i="18"/>
  <c r="J10" i="18"/>
  <c r="AB10" i="18"/>
  <c r="J18" i="18"/>
  <c r="P26" i="18"/>
  <c r="J26" i="18"/>
  <c r="AH10" i="18"/>
  <c r="P18" i="18"/>
  <c r="V18" i="18"/>
  <c r="X42" i="18"/>
  <c r="AD34" i="18"/>
  <c r="AD10" i="18"/>
  <c r="AD26" i="18"/>
  <c r="L10" i="18"/>
  <c r="L42" i="18"/>
  <c r="L26" i="18"/>
  <c r="X18" i="18"/>
  <c r="X34" i="18"/>
  <c r="X10" i="18"/>
  <c r="R18" i="18"/>
  <c r="AJ10" i="18"/>
  <c r="AD42" i="18"/>
  <c r="AJ34" i="18"/>
  <c r="R26" i="18"/>
  <c r="L18" i="18"/>
  <c r="AJ26" i="18"/>
  <c r="AD18" i="18"/>
  <c r="R34" i="18"/>
  <c r="L34" i="18"/>
  <c r="AJ42" i="18"/>
  <c r="R10" i="18"/>
  <c r="R42" i="18"/>
  <c r="X26" i="18"/>
  <c r="AJ18" i="18"/>
  <c r="Z42" i="18"/>
  <c r="T18" i="18"/>
  <c r="AF34" i="18"/>
  <c r="AF42" i="18"/>
  <c r="N42" i="18"/>
  <c r="Z18" i="18"/>
  <c r="AL10" i="18"/>
  <c r="AL26" i="18"/>
  <c r="AF26" i="18"/>
  <c r="Z10" i="18"/>
  <c r="N18" i="18"/>
  <c r="T26" i="18"/>
  <c r="AF10" i="18"/>
  <c r="T34" i="18"/>
  <c r="N26" i="18"/>
  <c r="AL18" i="18"/>
  <c r="N10" i="18"/>
  <c r="AF18" i="18"/>
  <c r="Z26" i="18"/>
  <c r="AL34" i="18"/>
  <c r="Z34" i="18"/>
  <c r="T10" i="18"/>
  <c r="AL42" i="18"/>
  <c r="N34" i="18"/>
  <c r="T42" i="18"/>
  <c r="AH12" i="18"/>
  <c r="J20" i="18"/>
  <c r="J44" i="18"/>
  <c r="AB28" i="18"/>
  <c r="P28" i="18"/>
  <c r="P12" i="18"/>
  <c r="AH20" i="18"/>
  <c r="P44" i="18"/>
  <c r="AB12" i="18"/>
  <c r="P20" i="18"/>
  <c r="J36" i="18"/>
  <c r="P36" i="18"/>
  <c r="AB44" i="18"/>
  <c r="V44" i="18"/>
  <c r="J28" i="18"/>
  <c r="AH36" i="18"/>
  <c r="V12" i="18"/>
  <c r="V28" i="18"/>
  <c r="AH44" i="18"/>
  <c r="AB20" i="18"/>
  <c r="AB36" i="18"/>
  <c r="AH28" i="18"/>
  <c r="V36" i="18"/>
  <c r="V20" i="18"/>
  <c r="J12" i="18"/>
  <c r="AF24" i="18"/>
  <c r="AF32" i="18"/>
  <c r="T40" i="18"/>
  <c r="Z40" i="18"/>
  <c r="AL8" i="18"/>
  <c r="AF8" i="18"/>
  <c r="T8" i="18"/>
  <c r="Z16" i="18"/>
  <c r="T24" i="18"/>
  <c r="AL24" i="18"/>
  <c r="Z32" i="18"/>
  <c r="N32" i="18"/>
  <c r="N16" i="18"/>
  <c r="Z8" i="18"/>
  <c r="AL40" i="18"/>
  <c r="N8" i="18"/>
  <c r="N24" i="18"/>
  <c r="T32" i="18"/>
  <c r="T16" i="18"/>
  <c r="AF40" i="18"/>
  <c r="AF16" i="18"/>
  <c r="AL32" i="18"/>
  <c r="N40" i="18"/>
  <c r="Z24" i="18"/>
  <c r="AL16" i="18"/>
  <c r="V25" i="19"/>
  <c r="V45" i="19"/>
  <c r="J15" i="19"/>
  <c r="AB45" i="19"/>
  <c r="AH25" i="19"/>
  <c r="AH55" i="19"/>
  <c r="AB15" i="19"/>
  <c r="P15" i="19"/>
  <c r="P45" i="19"/>
  <c r="V15" i="19"/>
  <c r="J35" i="19"/>
  <c r="AH45" i="19"/>
  <c r="J25" i="19"/>
  <c r="AB35" i="19"/>
  <c r="AH15" i="19"/>
  <c r="V35" i="19"/>
  <c r="J55" i="19"/>
  <c r="AB55" i="19"/>
  <c r="AB25" i="19"/>
  <c r="AH35" i="19"/>
  <c r="P55" i="19"/>
  <c r="J45" i="19"/>
  <c r="P25" i="19"/>
  <c r="P35" i="19"/>
  <c r="V55" i="19"/>
  <c r="L18" i="1"/>
  <c r="L17" i="1"/>
  <c r="L25" i="1"/>
  <c r="L15" i="1"/>
  <c r="L22" i="1"/>
  <c r="L16" i="1"/>
  <c r="L21" i="1"/>
  <c r="L27" i="1"/>
  <c r="L19" i="1"/>
  <c r="L14" i="1"/>
  <c r="L12" i="1"/>
  <c r="L24" i="1"/>
  <c r="L23" i="1"/>
  <c r="L13" i="1"/>
  <c r="L11" i="1" l="1"/>
  <c r="M11" i="1" s="1"/>
  <c r="P30" i="18" s="1"/>
  <c r="H210" i="13"/>
  <c r="L20" i="1"/>
  <c r="M20" i="1" s="1"/>
  <c r="AL30" i="18" s="1"/>
  <c r="L26" i="1"/>
  <c r="M26" i="1" s="1"/>
  <c r="N26" i="1" s="1"/>
  <c r="J24" i="18"/>
  <c r="Y11" i="1"/>
  <c r="AA11" i="1" s="1"/>
  <c r="Y12" i="1" s="1"/>
  <c r="M13" i="1"/>
  <c r="N13" i="1" s="1"/>
  <c r="M23" i="1"/>
  <c r="N23" i="1" s="1"/>
  <c r="AC23" i="1" s="1"/>
  <c r="AB23" i="1" s="1"/>
  <c r="M24" i="1"/>
  <c r="O24" i="1" s="1"/>
  <c r="M12" i="1"/>
  <c r="M14" i="1"/>
  <c r="N14" i="1" s="1"/>
  <c r="M19" i="1"/>
  <c r="N19" i="1" s="1"/>
  <c r="AC19" i="1" s="1"/>
  <c r="AB19" i="1" s="1"/>
  <c r="M27" i="1"/>
  <c r="N27" i="1" s="1"/>
  <c r="AC27" i="1" s="1"/>
  <c r="AB27" i="1" s="1"/>
  <c r="M21" i="1"/>
  <c r="O21" i="1" s="1"/>
  <c r="M16" i="1"/>
  <c r="N16" i="1" s="1"/>
  <c r="M22" i="1"/>
  <c r="N22" i="1" s="1"/>
  <c r="AC22" i="1" s="1"/>
  <c r="AB22" i="1" s="1"/>
  <c r="M15" i="1"/>
  <c r="M25" i="1"/>
  <c r="N25" i="1" s="1"/>
  <c r="AC25" i="1" s="1"/>
  <c r="AB25" i="1" s="1"/>
  <c r="M17" i="1"/>
  <c r="N17" i="1" s="1"/>
  <c r="M18" i="1"/>
  <c r="O18" i="1" s="1"/>
  <c r="Y19" i="1"/>
  <c r="AA19" i="1" s="1"/>
  <c r="P8" i="18"/>
  <c r="AB24" i="18"/>
  <c r="AB8" i="18"/>
  <c r="J8" i="18"/>
  <c r="AH40" i="18"/>
  <c r="P40" i="18"/>
  <c r="P16" i="18"/>
  <c r="Y21" i="1"/>
  <c r="Z21" i="1" s="1"/>
  <c r="Y20" i="1"/>
  <c r="Z20" i="1" s="1"/>
  <c r="Y22" i="1"/>
  <c r="Z22" i="1" s="1"/>
  <c r="Y18" i="1"/>
  <c r="AA18" i="1" s="1"/>
  <c r="N38" i="18"/>
  <c r="Z38" i="18"/>
  <c r="AF38" i="18"/>
  <c r="AL14" i="18"/>
  <c r="O20" i="1"/>
  <c r="AL6" i="18"/>
  <c r="T22" i="18"/>
  <c r="AF30" i="18"/>
  <c r="T38" i="18"/>
  <c r="T6" i="18"/>
  <c r="P24" i="18"/>
  <c r="AL22" i="18"/>
  <c r="AL38" i="18"/>
  <c r="Y23" i="1"/>
  <c r="Z23" i="1" s="1"/>
  <c r="Z19" i="1"/>
  <c r="V24" i="18"/>
  <c r="V8" i="18"/>
  <c r="J26" i="1"/>
  <c r="Y26" i="1" s="1"/>
  <c r="AB40" i="18"/>
  <c r="V40" i="18"/>
  <c r="AH8" i="18"/>
  <c r="O26" i="1"/>
  <c r="V16" i="18"/>
  <c r="AB16" i="18"/>
  <c r="AH24" i="18"/>
  <c r="AB32" i="18"/>
  <c r="P32" i="18"/>
  <c r="Y24" i="1"/>
  <c r="J40" i="18"/>
  <c r="T14" i="18"/>
  <c r="AF22" i="18"/>
  <c r="AF14" i="18"/>
  <c r="N30" i="18"/>
  <c r="N14" i="18"/>
  <c r="AF6" i="18"/>
  <c r="Z22" i="18"/>
  <c r="N22" i="18"/>
  <c r="T30" i="18"/>
  <c r="N20" i="1"/>
  <c r="AC20" i="1" s="1"/>
  <c r="AB20" i="1" s="1"/>
  <c r="N6" i="18"/>
  <c r="Z30" i="18"/>
  <c r="Y25" i="1"/>
  <c r="Y27" i="1"/>
  <c r="V32" i="18"/>
  <c r="J17" i="1"/>
  <c r="AC26" i="1"/>
  <c r="AB26" i="1" s="1"/>
  <c r="AA20" i="1" l="1"/>
  <c r="J6" i="18"/>
  <c r="J14" i="18"/>
  <c r="N11" i="1"/>
  <c r="AC11" i="1" s="1"/>
  <c r="AH30" i="18"/>
  <c r="J38" i="18"/>
  <c r="AH14" i="18"/>
  <c r="J30" i="18"/>
  <c r="J22" i="18"/>
  <c r="P6" i="18"/>
  <c r="P22" i="18"/>
  <c r="AH38" i="18"/>
  <c r="O11" i="1"/>
  <c r="P14" i="18"/>
  <c r="V30" i="18"/>
  <c r="V14" i="18"/>
  <c r="V38" i="18"/>
  <c r="AB30" i="18"/>
  <c r="P38" i="18"/>
  <c r="AB14" i="18"/>
  <c r="V22" i="18"/>
  <c r="AB6" i="18"/>
  <c r="V6" i="18"/>
  <c r="AH16" i="18"/>
  <c r="AH6" i="18"/>
  <c r="J16" i="18"/>
  <c r="J32" i="18"/>
  <c r="Z6" i="18"/>
  <c r="Z14" i="18"/>
  <c r="AH32" i="18"/>
  <c r="AH22" i="18"/>
  <c r="Z11" i="1"/>
  <c r="AB22" i="18"/>
  <c r="AB38" i="18"/>
  <c r="O19" i="1"/>
  <c r="O25" i="1"/>
  <c r="O13" i="1"/>
  <c r="L30" i="18"/>
  <c r="N24" i="1"/>
  <c r="AC24" i="1" s="1"/>
  <c r="AB24" i="1" s="1"/>
  <c r="R22" i="18"/>
  <c r="X22" i="18"/>
  <c r="O16" i="1"/>
  <c r="AD30" i="18"/>
  <c r="N18" i="1"/>
  <c r="AC18" i="1" s="1"/>
  <c r="AB18" i="1" s="1"/>
  <c r="AJ38" i="18"/>
  <c r="O23" i="1"/>
  <c r="L6" i="18"/>
  <c r="L38" i="18"/>
  <c r="AJ14" i="18"/>
  <c r="O14" i="1"/>
  <c r="O27" i="1"/>
  <c r="R30" i="18"/>
  <c r="AD6" i="18"/>
  <c r="AA21" i="1"/>
  <c r="N21" i="1"/>
  <c r="AC21" i="1" s="1"/>
  <c r="AB21" i="1" s="1"/>
  <c r="Q28" i="19" s="1"/>
  <c r="AD22" i="18"/>
  <c r="X38" i="18"/>
  <c r="AJ6" i="18"/>
  <c r="O17" i="1"/>
  <c r="L37" i="19"/>
  <c r="X6" i="18"/>
  <c r="L22" i="18"/>
  <c r="R14" i="18"/>
  <c r="X30" i="18"/>
  <c r="L48" i="19"/>
  <c r="AD38" i="18"/>
  <c r="R6" i="18"/>
  <c r="AJ22" i="18"/>
  <c r="L14" i="18"/>
  <c r="AD48" i="19"/>
  <c r="N15" i="1"/>
  <c r="O15" i="1"/>
  <c r="R38" i="18"/>
  <c r="X14" i="18"/>
  <c r="N12" i="1"/>
  <c r="O12" i="1"/>
  <c r="AD14" i="18"/>
  <c r="AJ30" i="18"/>
  <c r="AJ38" i="19"/>
  <c r="O22" i="1"/>
  <c r="AD38" i="19"/>
  <c r="AD8" i="19"/>
  <c r="X38" i="19"/>
  <c r="AD18" i="19"/>
  <c r="AA23" i="1"/>
  <c r="L7" i="19"/>
  <c r="AJ7" i="19"/>
  <c r="Z18" i="1"/>
  <c r="X28" i="19"/>
  <c r="AJ37" i="19"/>
  <c r="AA22" i="1"/>
  <c r="AJ18" i="19"/>
  <c r="R17" i="19"/>
  <c r="AJ17" i="19"/>
  <c r="X48" i="19"/>
  <c r="X8" i="19"/>
  <c r="AE28" i="19"/>
  <c r="R38" i="19"/>
  <c r="R37" i="19"/>
  <c r="AK48" i="19"/>
  <c r="Y48" i="19"/>
  <c r="S8" i="19"/>
  <c r="AE8" i="19"/>
  <c r="L28" i="19"/>
  <c r="R8" i="19"/>
  <c r="AD27" i="19"/>
  <c r="AJ47" i="19"/>
  <c r="L27" i="19"/>
  <c r="X18" i="19"/>
  <c r="AD28" i="19"/>
  <c r="R18" i="19"/>
  <c r="R27" i="19"/>
  <c r="AD17" i="19"/>
  <c r="AD7" i="19"/>
  <c r="AJ28" i="19"/>
  <c r="R28" i="19"/>
  <c r="AJ48" i="19"/>
  <c r="L8" i="19"/>
  <c r="X17" i="19"/>
  <c r="L38" i="19"/>
  <c r="AD22" i="1"/>
  <c r="R48" i="19"/>
  <c r="L18" i="19"/>
  <c r="AJ8" i="19"/>
  <c r="P8" i="19"/>
  <c r="V28" i="19"/>
  <c r="AB18" i="19"/>
  <c r="AH8" i="19"/>
  <c r="J38" i="19"/>
  <c r="AH18" i="19"/>
  <c r="AB48" i="19"/>
  <c r="AH28" i="19"/>
  <c r="AB8" i="19"/>
  <c r="V8" i="19"/>
  <c r="AH48" i="19"/>
  <c r="P28" i="19"/>
  <c r="AH38" i="19"/>
  <c r="J48" i="19"/>
  <c r="P18" i="19"/>
  <c r="P38" i="19"/>
  <c r="AD20" i="1"/>
  <c r="P48" i="19"/>
  <c r="V48" i="19"/>
  <c r="V38" i="19"/>
  <c r="J28" i="19"/>
  <c r="AB38" i="19"/>
  <c r="AB28" i="19"/>
  <c r="J8" i="19"/>
  <c r="V18" i="19"/>
  <c r="J18" i="19"/>
  <c r="AA27" i="1"/>
  <c r="Z27" i="1"/>
  <c r="M28" i="19"/>
  <c r="Y38" i="19"/>
  <c r="AA12" i="1"/>
  <c r="Y13" i="1" s="1"/>
  <c r="Z12" i="1"/>
  <c r="AK18" i="19"/>
  <c r="Y8" i="19"/>
  <c r="S38" i="19"/>
  <c r="S18" i="19"/>
  <c r="AE38" i="19"/>
  <c r="M18" i="19"/>
  <c r="M38" i="19"/>
  <c r="S48" i="19"/>
  <c r="AK38" i="19"/>
  <c r="AD23" i="1"/>
  <c r="AE18" i="19"/>
  <c r="X47" i="19"/>
  <c r="AD37" i="19"/>
  <c r="Y18" i="19"/>
  <c r="R7" i="19"/>
  <c r="AD47" i="19"/>
  <c r="Z24" i="1"/>
  <c r="AA24" i="1"/>
  <c r="X7" i="19"/>
  <c r="AJ27" i="19"/>
  <c r="M8" i="19"/>
  <c r="Y28" i="19"/>
  <c r="AA25" i="1"/>
  <c r="Z25" i="1"/>
  <c r="L17" i="19"/>
  <c r="AD19" i="1"/>
  <c r="X37" i="19"/>
  <c r="R47" i="19"/>
  <c r="AK8" i="19"/>
  <c r="AK28" i="19"/>
  <c r="L47" i="19"/>
  <c r="X27" i="19"/>
  <c r="AB11" i="1"/>
  <c r="AB16" i="19" s="1"/>
  <c r="AC12" i="1"/>
  <c r="S28" i="19"/>
  <c r="M48" i="19"/>
  <c r="AA26" i="1"/>
  <c r="Z26" i="1"/>
  <c r="AE48" i="19"/>
  <c r="AI18" i="19" l="1"/>
  <c r="AI28" i="19"/>
  <c r="W28" i="19"/>
  <c r="Q48" i="19"/>
  <c r="AI8" i="19"/>
  <c r="K18" i="19"/>
  <c r="AC18" i="19"/>
  <c r="AC8" i="19"/>
  <c r="W48" i="19"/>
  <c r="Q8" i="19"/>
  <c r="Q38" i="19"/>
  <c r="AC48" i="19"/>
  <c r="K48" i="19"/>
  <c r="W18" i="19"/>
  <c r="K38" i="19"/>
  <c r="K8" i="19"/>
  <c r="AC28" i="19"/>
  <c r="W38" i="19"/>
  <c r="AI38" i="19"/>
  <c r="AC38" i="19"/>
  <c r="W8" i="19"/>
  <c r="AD21" i="1"/>
  <c r="K28" i="19"/>
  <c r="AI48" i="19"/>
  <c r="K17" i="19"/>
  <c r="Q18" i="19"/>
  <c r="AB36" i="19"/>
  <c r="Q17" i="19"/>
  <c r="AI37" i="19"/>
  <c r="Q7" i="19"/>
  <c r="K7" i="19"/>
  <c r="AI17" i="19"/>
  <c r="Q27" i="19"/>
  <c r="AI47" i="19"/>
  <c r="AI7" i="19"/>
  <c r="K37" i="19"/>
  <c r="AC27" i="19"/>
  <c r="AC17" i="19"/>
  <c r="AI27" i="19"/>
  <c r="W17" i="19"/>
  <c r="K47" i="19"/>
  <c r="J46" i="19"/>
  <c r="K27" i="19"/>
  <c r="AC47" i="19"/>
  <c r="AC7" i="19"/>
  <c r="AD18" i="1"/>
  <c r="AD11" i="1"/>
  <c r="AC37" i="19"/>
  <c r="W47" i="19"/>
  <c r="Q47" i="19"/>
  <c r="Q37" i="19"/>
  <c r="W37" i="19"/>
  <c r="W7" i="19"/>
  <c r="W27" i="19"/>
  <c r="P6" i="19"/>
  <c r="J26" i="19"/>
  <c r="V36" i="19"/>
  <c r="V46" i="19"/>
  <c r="V6" i="19"/>
  <c r="P16" i="19"/>
  <c r="AH46" i="19"/>
  <c r="AH26" i="19"/>
  <c r="J36" i="19"/>
  <c r="AB26" i="19"/>
  <c r="V26" i="19"/>
  <c r="V16" i="19"/>
  <c r="J6" i="19"/>
  <c r="AH6" i="19"/>
  <c r="AH36" i="19"/>
  <c r="AB6" i="19"/>
  <c r="AC13" i="1"/>
  <c r="AB12" i="1"/>
  <c r="W46" i="19" s="1"/>
  <c r="AF38" i="19"/>
  <c r="N38" i="19"/>
  <c r="T38" i="19"/>
  <c r="Z18" i="19"/>
  <c r="AF28" i="19"/>
  <c r="AF48" i="19"/>
  <c r="N48" i="19"/>
  <c r="AL28" i="19"/>
  <c r="N28" i="19"/>
  <c r="N8" i="19"/>
  <c r="AL38" i="19"/>
  <c r="N18" i="19"/>
  <c r="Z28" i="19"/>
  <c r="T48" i="19"/>
  <c r="AL8" i="19"/>
  <c r="Z8" i="19"/>
  <c r="AD24" i="1"/>
  <c r="AF8" i="19"/>
  <c r="T8" i="19"/>
  <c r="Z38" i="19"/>
  <c r="Z48" i="19"/>
  <c r="T18" i="19"/>
  <c r="AL18" i="19"/>
  <c r="T28" i="19"/>
  <c r="AL48" i="19"/>
  <c r="AF18" i="19"/>
  <c r="AH16" i="19"/>
  <c r="AB46" i="19"/>
  <c r="J16" i="19"/>
  <c r="P46" i="19"/>
  <c r="AD25" i="1"/>
  <c r="O8" i="19"/>
  <c r="AA28" i="19"/>
  <c r="AM48" i="19"/>
  <c r="AM28" i="19"/>
  <c r="AM38" i="19"/>
  <c r="AA8" i="19"/>
  <c r="O38" i="19"/>
  <c r="U48" i="19"/>
  <c r="U38" i="19"/>
  <c r="O48" i="19"/>
  <c r="AA18" i="19"/>
  <c r="AM8" i="19"/>
  <c r="AG28" i="19"/>
  <c r="O28" i="19"/>
  <c r="AG38" i="19"/>
  <c r="AA38" i="19"/>
  <c r="O18" i="19"/>
  <c r="U18" i="19"/>
  <c r="AG48" i="19"/>
  <c r="AG8" i="19"/>
  <c r="AM18" i="19"/>
  <c r="AA48" i="19"/>
  <c r="U28" i="19"/>
  <c r="AG18" i="19"/>
  <c r="U8" i="19"/>
  <c r="Q49" i="19"/>
  <c r="W19" i="19"/>
  <c r="Q19" i="19"/>
  <c r="K39" i="19"/>
  <c r="AC9" i="19"/>
  <c r="K29" i="19"/>
  <c r="AI29" i="19"/>
  <c r="Q29" i="19"/>
  <c r="K19" i="19"/>
  <c r="AC39" i="19"/>
  <c r="W39" i="19"/>
  <c r="K49" i="19"/>
  <c r="Q39" i="19"/>
  <c r="AC49" i="19"/>
  <c r="AI9" i="19"/>
  <c r="K9" i="19"/>
  <c r="AD27" i="1"/>
  <c r="W29" i="19"/>
  <c r="AI39" i="19"/>
  <c r="AI49" i="19"/>
  <c r="W49" i="19"/>
  <c r="Q9" i="19"/>
  <c r="W9" i="19"/>
  <c r="AI19" i="19"/>
  <c r="AC19" i="19"/>
  <c r="AC29" i="19"/>
  <c r="AB9" i="19"/>
  <c r="AB49" i="19"/>
  <c r="AH19" i="19"/>
  <c r="AD26" i="1"/>
  <c r="V9" i="19"/>
  <c r="P49" i="19"/>
  <c r="AB19" i="19"/>
  <c r="P39" i="19"/>
  <c r="AB29" i="19"/>
  <c r="P9" i="19"/>
  <c r="J49" i="19"/>
  <c r="V39" i="19"/>
  <c r="P19" i="19"/>
  <c r="J29" i="19"/>
  <c r="J9" i="19"/>
  <c r="J19" i="19"/>
  <c r="V29" i="19"/>
  <c r="P29" i="19"/>
  <c r="AH49" i="19"/>
  <c r="V19" i="19"/>
  <c r="AH9" i="19"/>
  <c r="AH29" i="19"/>
  <c r="J39" i="19"/>
  <c r="V49" i="19"/>
  <c r="AB39" i="19"/>
  <c r="AH39" i="19"/>
  <c r="W26" i="19"/>
  <c r="K26" i="19"/>
  <c r="Q46" i="19"/>
  <c r="Q36" i="19"/>
  <c r="AI26" i="19"/>
  <c r="AI6" i="19"/>
  <c r="AC46" i="19"/>
  <c r="Z13" i="1"/>
  <c r="AA13" i="1"/>
  <c r="Y14" i="1" s="1"/>
  <c r="P26" i="19"/>
  <c r="P36" i="19"/>
  <c r="Q26" i="19" l="1"/>
  <c r="K36" i="19"/>
  <c r="Q16" i="19"/>
  <c r="AI16" i="19"/>
  <c r="AC16" i="19"/>
  <c r="W36" i="19"/>
  <c r="K46" i="19"/>
  <c r="K6" i="19"/>
  <c r="AC6" i="19"/>
  <c r="AI36" i="19"/>
  <c r="W6" i="19"/>
  <c r="Q6" i="19"/>
  <c r="AI46" i="19"/>
  <c r="AC36" i="19"/>
  <c r="AC26" i="19"/>
  <c r="AD12" i="1"/>
  <c r="K16" i="19"/>
  <c r="W16" i="19"/>
  <c r="AA14" i="1"/>
  <c r="Y15" i="1" s="1"/>
  <c r="Z14" i="1"/>
  <c r="AC14" i="1"/>
  <c r="AB13" i="1"/>
  <c r="AJ6" i="19" s="1"/>
  <c r="R6" i="19" l="1"/>
  <c r="R46" i="19"/>
  <c r="AJ16" i="19"/>
  <c r="AD13" i="1"/>
  <c r="X46" i="19"/>
  <c r="X26" i="19"/>
  <c r="X36" i="19"/>
  <c r="AD26" i="19"/>
  <c r="AD46" i="19"/>
  <c r="AB14" i="1"/>
  <c r="Y26" i="19" s="1"/>
  <c r="AC15" i="1"/>
  <c r="X16" i="19"/>
  <c r="L6" i="19"/>
  <c r="R16" i="19"/>
  <c r="L26" i="19"/>
  <c r="L16" i="19"/>
  <c r="AD36" i="19"/>
  <c r="AD16" i="19"/>
  <c r="X6" i="19"/>
  <c r="L36" i="19"/>
  <c r="AJ46" i="19"/>
  <c r="R36" i="19"/>
  <c r="R26" i="19"/>
  <c r="AJ36" i="19"/>
  <c r="AD6" i="19"/>
  <c r="L46" i="19"/>
  <c r="AJ26" i="19"/>
  <c r="AA15" i="1"/>
  <c r="Y16" i="1" s="1"/>
  <c r="Z15" i="1"/>
  <c r="AK46" i="19" l="1"/>
  <c r="AK16" i="19"/>
  <c r="Y16" i="19"/>
  <c r="S46" i="19"/>
  <c r="Z16" i="1"/>
  <c r="AA16" i="1"/>
  <c r="Y17" i="1" s="1"/>
  <c r="AE36" i="19"/>
  <c r="AK6" i="19"/>
  <c r="Y46" i="19"/>
  <c r="M16" i="19"/>
  <c r="S16" i="19"/>
  <c r="S36" i="19"/>
  <c r="AE16" i="19"/>
  <c r="AE46" i="19"/>
  <c r="AE6" i="19"/>
  <c r="S6" i="19"/>
  <c r="M46" i="19"/>
  <c r="S26" i="19"/>
  <c r="AE26" i="19"/>
  <c r="AB15" i="1"/>
  <c r="Z16" i="19" s="1"/>
  <c r="AC16" i="1"/>
  <c r="Y36" i="19"/>
  <c r="Y6" i="19"/>
  <c r="AK36" i="19"/>
  <c r="M26" i="19"/>
  <c r="M36" i="19"/>
  <c r="M6" i="19"/>
  <c r="AK26" i="19"/>
  <c r="AD14" i="1"/>
  <c r="N46" i="19" l="1"/>
  <c r="AL36" i="19"/>
  <c r="N36" i="19"/>
  <c r="AF36" i="19"/>
  <c r="AF46" i="19"/>
  <c r="AL6" i="19"/>
  <c r="T26" i="19"/>
  <c r="AL16" i="19"/>
  <c r="N26" i="19"/>
  <c r="AF26" i="19"/>
  <c r="T6" i="19"/>
  <c r="AF6" i="19"/>
  <c r="AL26" i="19"/>
  <c r="AF16" i="19"/>
  <c r="N16" i="19"/>
  <c r="Z17" i="1"/>
  <c r="AA17" i="1"/>
  <c r="T36" i="19"/>
  <c r="Z6" i="19"/>
  <c r="AD15" i="1"/>
  <c r="Z36" i="19"/>
  <c r="N6" i="19"/>
  <c r="T16" i="19"/>
  <c r="Z46" i="19"/>
  <c r="AL46" i="19"/>
  <c r="Z26" i="19"/>
  <c r="T46" i="19"/>
  <c r="AB16" i="1"/>
  <c r="AA46" i="19" s="1"/>
  <c r="AC17" i="1"/>
  <c r="AB17" i="1" s="1"/>
  <c r="U6" i="19"/>
  <c r="O46" i="19"/>
  <c r="AG26" i="19"/>
  <c r="AA16" i="19" l="1"/>
  <c r="AM46" i="19"/>
  <c r="O36" i="19"/>
  <c r="U16" i="19"/>
  <c r="AM26" i="19"/>
  <c r="U46" i="19"/>
  <c r="AA36" i="19"/>
  <c r="AG6" i="19"/>
  <c r="O6" i="19"/>
  <c r="AG16" i="19"/>
  <c r="O16" i="19"/>
  <c r="AA26" i="19"/>
  <c r="AM36" i="19"/>
  <c r="AM16" i="19"/>
  <c r="AA6" i="19"/>
  <c r="O26" i="19"/>
  <c r="AM6" i="19"/>
  <c r="U36" i="19"/>
  <c r="U26" i="19"/>
  <c r="AG36" i="19"/>
  <c r="AG46" i="19"/>
  <c r="AD16" i="1"/>
  <c r="J37" i="19"/>
  <c r="V17" i="19"/>
  <c r="AH27" i="19"/>
  <c r="V27" i="19"/>
  <c r="J27" i="19"/>
  <c r="P37" i="19"/>
  <c r="V7" i="19"/>
  <c r="V37" i="19"/>
  <c r="J47" i="19"/>
  <c r="AH37" i="19"/>
  <c r="AH17" i="19"/>
  <c r="AH7" i="19"/>
  <c r="P27" i="19"/>
  <c r="P7" i="19"/>
  <c r="AD17" i="1"/>
  <c r="P47" i="19"/>
  <c r="AB17" i="19"/>
  <c r="AB47" i="19"/>
  <c r="V47" i="19"/>
  <c r="AH47" i="19"/>
  <c r="AB27" i="19"/>
  <c r="J7" i="19"/>
  <c r="J17" i="19"/>
  <c r="P17" i="19"/>
  <c r="AB37" i="19"/>
  <c r="AB7"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<sst xmlns="http://schemas.openxmlformats.org/spreadsheetml/2006/main" count="759" uniqueCount="384">
  <si>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</si>
  <si>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rFont val="Arial"/>
        <family val="2"/>
      </rPr>
      <t>Guía para la Administración del Riesgo y el diseño de controles V5</t>
    </r>
    <r>
      <rPr>
        <sz val="10"/>
        <rFont val="Arial"/>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</si>
  <si>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</si>
  <si>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family val="2"/>
      </rPr>
      <t>proceso, su objetivo, alcance, actividades clave</t>
    </r>
    <r>
      <rPr>
        <sz val="11"/>
        <rFont val="Arial"/>
        <family val="2"/>
      </rPr>
      <t xml:space="preserve">, considere los lineamientos establecidos en el </t>
    </r>
    <r>
      <rPr>
        <b/>
        <sz val="11"/>
        <rFont val="Arial"/>
        <family val="2"/>
      </rPr>
      <t>Paso 2: identificación del riesgo</t>
    </r>
    <r>
      <rPr>
        <sz val="11"/>
        <rFont val="Arial"/>
        <family val="2"/>
      </rPr>
      <t xml:space="preserve">, donde se explica ampliamente las bases para adelanter este análisis.
Así mismo, considere en el </t>
    </r>
    <r>
      <rPr>
        <b/>
        <sz val="11"/>
        <rFont val="Arial"/>
        <family val="2"/>
      </rPr>
      <t>Paso 3: valoración del riesgo</t>
    </r>
    <r>
      <rPr>
        <sz val="11"/>
        <rFont val="Arial"/>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rFont val="Arial"/>
        <family val="2"/>
      </rPr>
      <t>NOTA:</t>
    </r>
    <r>
      <rPr>
        <sz val="11"/>
        <rFont val="Arial"/>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</si>
  <si>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family val="2"/>
      </rPr>
      <t>Hoja 1 Instructivo</t>
    </r>
    <r>
      <rPr>
        <sz val="10"/>
        <rFont val="Arial"/>
        <family val="2"/>
      </rPr>
      <t xml:space="preserve">
 -  </t>
    </r>
    <r>
      <rPr>
        <b/>
        <sz val="11"/>
        <rFont val="Arial"/>
        <family val="2"/>
      </rPr>
      <t xml:space="preserve">Hoja 2 Mapa Final: </t>
    </r>
    <r>
      <rPr>
        <sz val="10"/>
        <rFont val="Arial"/>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</si>
  <si>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</si>
  <si>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</si>
  <si>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</si>
  <si>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</si>
  <si>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</si>
  <si>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</si>
  <si>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</si>
  <si>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</si>
  <si>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</si>
  <si>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</si>
  <si>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</si>
  <si>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</si>
  <si>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</si>
  <si>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</si>
  <si>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</si>
  <si>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</si>
  <si>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</si>
  <si>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</si>
  <si>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</si>
  <si>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</si>
  <si>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</si>
  <si>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</si>
  <si>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</si>
  <si>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</si>
  <si>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</si>
  <si>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</si>
  <si>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</si>
  <si>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rFont val="Arial"/>
        <family val="2"/>
      </rPr>
      <t>Responsable de ejecutar el control + Acción + Complemento</t>
    </r>
  </si>
  <si>
    <t>Afectación</t>
  </si>
  <si>
    <t>Esta casilla no se diligencia, depende de la selección en la columna R.</t>
  </si>
  <si>
    <r>
      <t xml:space="preserve">ATRIBUTOS EFICIENCIA
</t>
    </r>
    <r>
      <rPr>
        <sz val="9"/>
        <rFont val="Arial"/>
        <family val="2"/>
      </rPr>
      <t>Tipo</t>
    </r>
  </si>
  <si>
    <t>Utilice la lista de despligue que se encuentra parametrizada, le aparecerán las opciones: i)Preventivo, ii)Detectivo, iii)Correctivo.</t>
  </si>
  <si>
    <r>
      <t xml:space="preserve">ATRIBUTOS EFICIENCIA
</t>
    </r>
    <r>
      <rPr>
        <sz val="9"/>
        <rFont val="Arial"/>
        <family val="2"/>
      </rPr>
      <t>Implementación</t>
    </r>
  </si>
  <si>
    <t>Utilice la lista de despligue que se encuentra parametrizada, le aparecerán las opciones: i)Automático, ii)Manual.</t>
  </si>
  <si>
    <r>
      <t xml:space="preserve">ATRIBUTOS EFICIENCIA
</t>
    </r>
    <r>
      <rPr>
        <sz val="9"/>
        <rFont val="Arial"/>
        <family val="2"/>
      </rPr>
      <t>Calificación</t>
    </r>
  </si>
  <si>
    <t xml:space="preserve">La matriz automáticamente hará el cálculo para el control analizado (Columna T) </t>
  </si>
  <si>
    <r>
      <t xml:space="preserve">ATRIBUTOS INFORMATIVOS
</t>
    </r>
    <r>
      <rPr>
        <sz val="9"/>
        <rFont val="Arial"/>
        <family val="2"/>
      </rPr>
      <t>Documentación</t>
    </r>
  </si>
  <si>
    <t>Utilice la lista de despligue que se encuentra parametrizada, le aparecerán las opciones: i)Documentado, ii)Sin documentar.</t>
  </si>
  <si>
    <r>
      <t xml:space="preserve">ATRIBUTOS INFORMATIVOS
</t>
    </r>
    <r>
      <rPr>
        <sz val="9"/>
        <rFont val="Arial"/>
        <family val="2"/>
      </rPr>
      <t>Frecuencia</t>
    </r>
  </si>
  <si>
    <t>Utilice la lista de despligue que se encuentra parametrizada, le aparecerán las opciones: i)Continua, ii)Aleatoria.</t>
  </si>
  <si>
    <r>
      <t xml:space="preserve">ATRIBUTOS INFORMATIVOS
</t>
    </r>
    <r>
      <rPr>
        <sz val="9"/>
        <rFont val="Arial"/>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</si>
  <si>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</si>
  <si>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</si>
  <si>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rFont val="Arial"/>
        <family val="2"/>
      </rPr>
      <t xml:space="preserve"> nivel de riesgo inherente</t>
    </r>
    <r>
      <rPr>
        <sz val="9"/>
        <rFont val="Arial"/>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</si>
  <si>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</si>
  <si>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</si>
  <si>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</si>
  <si>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</si>
  <si>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</si>
  <si>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</si>
  <si>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family val="2"/>
      </rPr>
      <t xml:space="preserve"> </t>
    </r>
    <r>
      <rPr>
        <b/>
        <sz val="11"/>
        <rFont val="Arial"/>
        <family val="2"/>
      </rPr>
      <t xml:space="preserve"> Hoja 3 Matriz de Calor Inherente: </t>
    </r>
    <r>
      <rPr>
        <sz val="11"/>
        <rFont val="Arial"/>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</si>
  <si>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family val="2"/>
      </rPr>
      <t xml:space="preserve"> </t>
    </r>
    <r>
      <rPr>
        <b/>
        <sz val="11"/>
        <rFont val="Arial"/>
        <family val="2"/>
      </rPr>
      <t xml:space="preserve"> Hoja 4 Matriz de Calor Residual: </t>
    </r>
    <r>
      <rPr>
        <sz val="11"/>
        <rFont val="Arial"/>
        <family val="2"/>
      </rPr>
      <t>En esta hoja, en la medida en que ese diligencia el Mapa Final, se verán reflejados los riesgos en su zona correspondiente. Esta hoja no se diligencia se genera de manera automática.</t>
    </r>
  </si>
  <si>
    <r>
      <t xml:space="preserve"> -</t>
    </r>
    <r>
      <rPr>
        <sz val="11"/>
        <rFont val="Arial"/>
        <family val="2"/>
      </rPr>
      <t xml:space="preserve"> </t>
    </r>
    <r>
      <rPr>
        <b/>
        <sz val="11"/>
        <rFont val="Arial"/>
        <family val="2"/>
      </rPr>
      <t xml:space="preserve"> Hoja 5 Tabla de probabilidad: </t>
    </r>
    <r>
      <rPr>
        <sz val="11"/>
        <rFont val="Arial"/>
        <family val="2"/>
      </rPr>
      <t>Tabla referente para todos los cálculos (no se diligencia)</t>
    </r>
  </si>
  <si>
    <r>
      <t xml:space="preserve"> -</t>
    </r>
    <r>
      <rPr>
        <sz val="11"/>
        <rFont val="Arial"/>
        <family val="2"/>
      </rPr>
      <t xml:space="preserve"> </t>
    </r>
    <r>
      <rPr>
        <b/>
        <sz val="11"/>
        <rFont val="Arial"/>
        <family val="2"/>
      </rPr>
      <t xml:space="preserve"> Hoja 6 Tabla de Impacto: </t>
    </r>
    <r>
      <rPr>
        <sz val="11"/>
        <rFont val="Arial"/>
        <family val="2"/>
      </rPr>
      <t>Tabla referente para todos los cálculos (no se diligencia)</t>
    </r>
  </si>
  <si>
    <r>
      <t xml:space="preserve"> -</t>
    </r>
    <r>
      <rPr>
        <sz val="11"/>
        <rFont val="Arial"/>
        <family val="2"/>
      </rPr>
      <t xml:space="preserve"> </t>
    </r>
    <r>
      <rPr>
        <b/>
        <sz val="11"/>
        <rFont val="Arial"/>
        <family val="2"/>
      </rPr>
      <t xml:space="preserve"> Hoja 7 Tabla de Valoración de Controles: </t>
    </r>
    <r>
      <rPr>
        <sz val="11"/>
        <rFont val="Arial"/>
        <family val="2"/>
      </rPr>
      <t>Tabla referente para todos los cálculos (no se diligencia)</t>
    </r>
  </si>
  <si>
    <t>MATRIZ DE RIESGOS  
DE CORRUPCIÓN</t>
  </si>
  <si>
    <t>Código: ES-DEFO-24</t>
  </si>
  <si>
    <t>Fecha: 03/10/2023</t>
  </si>
  <si>
    <t>Versión: 1</t>
  </si>
  <si>
    <t>Proceso:</t>
  </si>
  <si>
    <t xml:space="preserve"> CORVIVIENDA</t>
  </si>
  <si>
    <t>Objetivo:</t>
  </si>
  <si>
    <t>Construir comunidad desde el derecho fundamental a la vivienda digna, a la prosperidad y a un hábitat sostenible, en articulación con el Sistema Nacional de Vivienda, apoyados en la planificación estratégica del crecimiento territorial organizado.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</si>
  <si>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</si>
  <si>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</si>
  <si>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</si>
  <si>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</si>
  <si>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</si>
  <si>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</si>
  <si>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</si>
  <si>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Causa 
Inmediata</t>
  </si>
  <si>
    <t>Causa 
Raíz</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</si>
  <si>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</si>
  <si>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</si>
  <si>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</si>
  <si>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</si>
  <si>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</si>
  <si>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</si>
  <si>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</si>
  <si>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</si>
  <si>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</si>
  <si>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</si>
  <si>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</si>
  <si>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</si>
  <si>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</si>
  <si>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</si>
  <si>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</si>
  <si>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</si>
  <si>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 xml:space="preserve">Procesos </t>
  </si>
  <si>
    <t>Tipo</t>
  </si>
  <si>
    <t>Implementación</t>
  </si>
  <si>
    <t>Calificación</t>
  </si>
  <si>
    <t>Documentación</t>
  </si>
  <si>
    <t>Frecuencia</t>
  </si>
  <si>
    <t>Evidencia</t>
  </si>
  <si>
    <t xml:space="preserve">Gestión Direccionamiento Estrategico </t>
  </si>
  <si>
    <t>Reputacional</t>
  </si>
  <si>
    <t xml:space="preserve">Generar planes no ajustasdos a la realidad institucional </t>
  </si>
  <si>
    <t xml:space="preserve">Desconocimiento normativo por parte de funcionarios y contratistas </t>
  </si>
  <si>
    <t>Posibilidad de generar planes no ajustados a la realidad institucional con el fin de agilizar la gestion de un tramite o procedimiento administrativo  en beneficio propio o de un tercero</t>
  </si>
  <si>
    <t>Usuarios, productos y practicas , organizacionales</t>
  </si>
  <si>
    <t xml:space="preserve">     El riesgo afecta la imagen de la entidad internamente, de conocimiento general, nivel interno, de junta dircetiva y accionistas y/o de provedores</t>
  </si>
  <si>
    <t>1. Coordinar con las dependencias la  construcción de planes los planes institucionales acordes a los establecido en el Modelo Integrado de Planeación y Gestión MIPG.
2. Realizar mesas de trabajo para la costruccion de Planes Institucionales
3. Revisión por parte de Profesional Universitario de la Oficina Asesora de Planeación
4. Socialización de los planes institucional en el Comite institucional de Gestión y Desempeño.
5. Publicación de los planes institucionales en pagina web</t>
  </si>
  <si>
    <t>Preventivo</t>
  </si>
  <si>
    <t>Manual</t>
  </si>
  <si>
    <t>Sin Documentar</t>
  </si>
  <si>
    <t>Continua</t>
  </si>
  <si>
    <t>Con Registro</t>
  </si>
  <si>
    <t>Jefe Oficina Asesora de Planeación</t>
  </si>
  <si>
    <t xml:space="preserve">Anual </t>
  </si>
  <si>
    <t>En curso</t>
  </si>
  <si>
    <t>Económico y Reputacional</t>
  </si>
  <si>
    <t xml:space="preserve"> uso indebido de informacion confidencial y/o privilegiada</t>
  </si>
  <si>
    <t xml:space="preserve">Manejo inadecuado de la informacion generada </t>
  </si>
  <si>
    <t xml:space="preserve">Posible  uso indebido de informacion confidencial y/o privilegiada para favorecer a un tercero,obtener beneficios personales o particulares </t>
  </si>
  <si>
    <t>1.Dar cumplimiento a lo establecido en el acto administrativo por el cual se determina la información clasificada y reservada del Fondo de Vivienda de Interes Social y Reforma Urbana CORVIVIENDA.
2. Implementar las politicas de Seguridad y Privacidad de la Información</t>
  </si>
  <si>
    <t>1.Realizar seguimiento al cumplimiento de los dispuesto en el acto administrativo que determina la información clasificada y reservada</t>
  </si>
  <si>
    <t>01/012024 a 30/12/2024</t>
  </si>
  <si>
    <t>Cuatrimestral</t>
  </si>
  <si>
    <t xml:space="preserve">El proceso es dependiente del conocimiento que los funcionarios  y contratistas  tienen sobre las actividades </t>
  </si>
  <si>
    <t>Alterar la información del desempeño de los procesos</t>
  </si>
  <si>
    <t>Ejecucion y Administracion de procesos</t>
  </si>
  <si>
    <t xml:space="preserve">1. Realizar Seguimiento a  los planes Institucionales y Planes de Gestión por procesos  por parte de la oficina Asesora de  Planeación 
</t>
  </si>
  <si>
    <t xml:space="preserve">1. Informe de Seguimiento a Planes Institucionales y de Gestión por Procesos </t>
  </si>
  <si>
    <t>Trimestral</t>
  </si>
  <si>
    <t xml:space="preserve">Gestión de Comunicaciones </t>
  </si>
  <si>
    <t>Falta de controles frente al manejo de la informacion por parte de los funcionarios y contratistas</t>
  </si>
  <si>
    <t xml:space="preserve">Ocultar información considerada publica </t>
  </si>
  <si>
    <t xml:space="preserve">     El riesgo afecta la imagen de la entidad con algunos usuarios de relevancia frente al logro de los objetivos</t>
  </si>
  <si>
    <t>1.Revision y/o verificacion de la informacion antes de su publicacion por parte de la gerencia y/o personal asignado.
2.Validacion  de la informacion por parte de  Funcionarios con ingerencia en la información suministrada</t>
  </si>
  <si>
    <t>Gestión TIC</t>
  </si>
  <si>
    <t>Resultados que afectan la política y/o la imagen de la entidad</t>
  </si>
  <si>
    <t>Ocultar información del proceso de ejecución de las politicas TI</t>
  </si>
  <si>
    <t xml:space="preserve">1. Realizar seguimiento a la ejecución de las politicas TI por parte del Jefe Oficina Asesora de Planeación
</t>
  </si>
  <si>
    <t>1. Informe de avance de la implemetación de las politicas TI</t>
  </si>
  <si>
    <t xml:space="preserve">Gestión Vivienda Nueva </t>
  </si>
  <si>
    <t xml:space="preserve">Fallas en la supervisión de obras y situaciones externas ajenas a la emtidad </t>
  </si>
  <si>
    <t xml:space="preserve">Posible incumplimiento del cronograma de los plazos estimados en las contrucciones de obras civiles que beneficien a un tercero </t>
  </si>
  <si>
    <t>1.Seguimiento permanente a la ejecución de las obras civiles</t>
  </si>
  <si>
    <t>1.Realizar Seguimiento a obras civiles, documento de seguimiento .</t>
  </si>
  <si>
    <t xml:space="preserve">Director Tecnico </t>
  </si>
  <si>
    <t>Gestión Vivienda Mejoramiento de Vivienda</t>
  </si>
  <si>
    <t>Informes deficientes, carentes de información relacionada con los potenciales postulantes, falta de procedimientos concretos que establezcan los lineamientos para la asignación de subsidios, falta de socialización y comunicación entre el equipo de trabajo para consolidación de la información</t>
  </si>
  <si>
    <t xml:space="preserve">Posibles fallas en la generación de informes para la asignación de subsidios de vivienda de interes social y mejoramiento de vivienda a favor de un tercero </t>
  </si>
  <si>
    <t>1.Estandarización de formatos que incluyan la información necesaria requerida en el informe presentado, revisión previa de la información antes de ser presentada en comité para su aprobación</t>
  </si>
  <si>
    <t xml:space="preserve">Gestión Titulación y Legalización  </t>
  </si>
  <si>
    <t>Manejo innadecuado de la infomación</t>
  </si>
  <si>
    <t>Proceso de legalización de un predio, sin tener en cuenta lo comtemplado normativamente.</t>
  </si>
  <si>
    <t xml:space="preserve">1. Contar con base de datos actualizada de personas que requieran procesos de legalización de predios.
2. Validar con los sistemas de información nacional, si el predio del ciudadano puede ser vinculado a un proceso de legalización </t>
  </si>
  <si>
    <t>1. Relación de Personal validado para vincular en procesos de legalización.</t>
  </si>
  <si>
    <t>Jefe de Oficina Asesora Juridica</t>
  </si>
  <si>
    <t>Gestión Talento Humano</t>
  </si>
  <si>
    <t>Plan Estratégico de  Talento Humano con falencias en su elaboración</t>
  </si>
  <si>
    <t>Posible falencias en la elaboración del diagnóstico de necesidades para la implementación del Plan Estratégico de  Talento Humano en beneficio propio o de un particular.</t>
  </si>
  <si>
    <t>1. Realizar mesas de trabajo para la construccion del plan.
2. Revisión por parte de Profesional Universitario de la Oficina Asesora de Planeación
3. Socialización de los planes institucional en el Comite institucional de Gestión y Desempeño.
4. Publicación de los planes institucionales en pagina web</t>
  </si>
  <si>
    <t>Director Administrativo</t>
  </si>
  <si>
    <t xml:space="preserve">Gestión Bienes y Servicios </t>
  </si>
  <si>
    <t>Económico</t>
  </si>
  <si>
    <t xml:space="preserve"> Insatisfacción de las dependencias de la entidad </t>
  </si>
  <si>
    <t>Incumplimiento en la entrega de los bienes y servicios requeridos aprobados en el plan anual de adquisiciones vigente aprobado</t>
  </si>
  <si>
    <t>Posibilidad de pérdida reputacional por insatisfacción de las dependencias de la entidad debido al incumplimiento en la entrega de los bienes y servicios requeridos aprobados en el plan anual de adquisiciones vigente aprobado</t>
  </si>
  <si>
    <t xml:space="preserve">     Afectación menor a 10 SMLMV .</t>
  </si>
  <si>
    <t>1. Solicitud por parte de Directores y jefes de oficina de las necesidades en bienes  que tiene la entidad.
2. Creación de un listado de necesidades para funcionamiento de la entidad 
3. Hacer seguimiento al abastecimiento de bienes.</t>
  </si>
  <si>
    <t>1. Realizar seguimiento al abastecimiento de los bienes necesarios para el funcionamiento de la entidad.</t>
  </si>
  <si>
    <t>cuatrimestral</t>
  </si>
  <si>
    <t xml:space="preserve">Gestión Financiera </t>
  </si>
  <si>
    <t xml:space="preserve">Proyección del PAA sin tener en cuenta las necesidades de la entidad </t>
  </si>
  <si>
    <t xml:space="preserve">Posible Proyección inadecuada del Plan Anual de Adquisiciones - PAA para beneficio propio o de terceros </t>
  </si>
  <si>
    <t>1. Revisión por parte de Profesional Especializado de la Dirección Administrativa
2. Socialización del PAA en junta directiva y en el Comite institucional de Gestión y Desempeño.
3. Publicación del Plan Anual de Adquisiciones en SECOP y Pagina WEB</t>
  </si>
  <si>
    <t>Gestión Juridica</t>
  </si>
  <si>
    <t>Falta de controles de la información</t>
  </si>
  <si>
    <t>Posibilidad de suministrar información confidencial de las estrategias recibiendo o solicitando dádivas o beneficios a favor propio o de un tercero .</t>
  </si>
  <si>
    <t xml:space="preserve">1.Realizar  seguimiento a los procesos de defensa, solicitando actualizacion con traslado de las piezas procesales que se surtan en cada uno de los procesos
2. Revision y/o verificacion  semanal en los sistemas de informacion de la rama Judicial de cada uno de los procesos activos de la entidad </t>
  </si>
  <si>
    <t>Carencia de procedimientos de  control establecidos</t>
  </si>
  <si>
    <t xml:space="preserve">Reporte infocompleto de los procesos </t>
  </si>
  <si>
    <t>Posible reporte incompleto, con datos falsos o alterados y/ o tardio de las novedades de los procesos  a favor de un tercero</t>
  </si>
  <si>
    <t>Fraude Interno</t>
  </si>
  <si>
    <t>No cumplmiento de las normativas legales.</t>
  </si>
  <si>
    <t>Falta de seguimiento en la respuestas por parte de los funcionarios y responsables del proceso</t>
  </si>
  <si>
    <t>Posible Respuesta inoportuna de las PQRSDF y derechos de peticion interpuestos por los ciudadanos</t>
  </si>
  <si>
    <t>1. Realizar Seguimiento a las solicitudes de la ciudadania PQRSDF .
2. Evaluar la estrategia de Servicio al Ciudadano</t>
  </si>
  <si>
    <t>1. Elaborar informe se seguimiento a las solicitudes de la ciudadania PQRSDF .</t>
  </si>
  <si>
    <t>Gestión Contractual</t>
  </si>
  <si>
    <t>Inadecuado planteamiento de las necesidades por parte de las dependencias.</t>
  </si>
  <si>
    <t>Posibilidad de eleborar contratos a favor propio o de un tercero</t>
  </si>
  <si>
    <t xml:space="preserve">1. Requerir anualmente las necesidades a cada director de dependencia y revisará la funcionalidad y prioridad  de estas para dejarlas plasmadas en el Plan Anual de Adquisiciones  </t>
  </si>
  <si>
    <t>1. Memorando solicitando las necesidades de funcionamiento y misionales de la entidad</t>
  </si>
  <si>
    <t>Gestión Documental</t>
  </si>
  <si>
    <t>Pérdida de confiabilidad del
proceso</t>
  </si>
  <si>
    <t>1. Formalizar la autorización por cada dependencia mediante formato autorizados, consulta prestamos, devoluciones archivo de gestión.</t>
  </si>
  <si>
    <t>1.Relación de consulta prestamos, devoluciones archivo de gestión</t>
  </si>
  <si>
    <t xml:space="preserve">Gestión Evaluación Independiente </t>
  </si>
  <si>
    <t>Perdida de confianza en los procesos internos</t>
  </si>
  <si>
    <t xml:space="preserve">Posible proyeccion de reportes generados en el plan anual de auditorias </t>
  </si>
  <si>
    <t>1.Revisar los resultados de auditorias de vigencias anteriores para la proyección  del plan de auditoria.
2.Priorizando los procesos mas relevantes</t>
  </si>
  <si>
    <t xml:space="preserve">1.Cronograma Plan Anual de Auditoria.
2.Generar  y suscribir Plan de Mejoramiento </t>
  </si>
  <si>
    <t>Jefe de Oficina Asesora Jde Control Interno</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</si>
  <si>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</si>
  <si>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</si>
  <si>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</si>
  <si>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</si>
  <si>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</si>
  <si>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</si>
  <si>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</si>
  <si>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</si>
  <si>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</si>
  <si>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</si>
  <si>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</si>
  <si>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</si>
  <si>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</si>
  <si>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</si>
  <si>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</si>
  <si>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</si>
  <si>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</si>
  <si>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</si>
  <si>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</si>
  <si>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</si>
  <si>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</si>
  <si>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</si>
  <si>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</si>
  <si>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</si>
  <si>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</si>
  <si>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</si>
  <si>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</si>
  <si>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</si>
  <si>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</si>
  <si>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</si>
  <si>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</si>
  <si>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</si>
  <si>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</si>
  <si>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</si>
  <si>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</si>
  <si>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</si>
  <si>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</si>
  <si>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</si>
  <si>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</si>
  <si>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</si>
  <si>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</si>
  <si>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</si>
  <si>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</si>
  <si>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</si>
  <si>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</si>
  <si>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</si>
  <si>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</si>
  <si>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</si>
  <si>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</si>
  <si>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</si>
  <si>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</si>
  <si>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</si>
  <si>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El riesgo afecta la imagen de alguna área de la organización</t>
  </si>
  <si>
    <t>Pérdida_Reputacional</t>
  </si>
  <si>
    <t xml:space="preserve">     Entre 10 y 50 SMLMV </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</si>
  <si>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</si>
  <si>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</si>
  <si>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</si>
  <si>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</si>
  <si>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</si>
  <si>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</si>
  <si>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</si>
  <si>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</si>
  <si>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</si>
  <si>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</si>
  <si>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</si>
  <si>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</si>
  <si>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</si>
  <si>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</si>
  <si>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</si>
  <si>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</si>
  <si>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</si>
  <si>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</si>
  <si>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</si>
  <si>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</si>
  <si>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</si>
  <si>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</si>
  <si>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</si>
  <si>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</si>
  <si>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family val="2"/>
      </rPr>
      <t>*</t>
    </r>
    <r>
      <rPr>
        <b/>
        <sz val="12"/>
        <rFont val="Arial"/>
        <family val="2"/>
      </rPr>
      <t>Atributos de</t>
    </r>
    <r>
      <rPr>
        <b/>
        <sz val="12"/>
        <color theme="9" tint="-0.249977111117893"/>
        <rFont val="Arial"/>
        <family val="2"/>
      </rPr>
      <t xml:space="preserve"> </t>
    </r>
    <r>
      <rPr>
        <b/>
        <sz val="12"/>
        <color rgb="FF000000"/>
        <rFont val="Arial"/>
        <family val="2"/>
      </rPr>
      <t>Formalización</t>
    </r>
  </si>
  <si>
    <t>Documentado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</si>
  <si>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</si>
  <si>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</si>
  <si>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</si>
  <si>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</si>
  <si>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</si>
  <si>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</si>
  <si>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</si>
  <si>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</si>
  <si>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</si>
  <si>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rFont val="Arial"/>
        <family val="2"/>
      </rPr>
      <t>*Nota 1:</t>
    </r>
    <r>
      <rPr>
        <sz val="12"/>
        <rFont val="Arial"/>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</si>
  <si>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</si>
  <si>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Evitar</t>
  </si>
  <si>
    <t>Reducir (compartir)</t>
  </si>
  <si>
    <t>Reducir (mitigar)</t>
  </si>
  <si>
    <t>Plan de accion (solo para la opción reducir)</t>
  </si>
  <si>
    <t>Finalizado</t>
  </si>
  <si>
    <t>Daños Activos Fisicos</t>
  </si>
  <si>
    <t>Fallas Tecnologicas</t>
  </si>
  <si>
    <t>Fraude Externo</t>
  </si>
  <si>
    <t>Relaciones Laborales</t>
  </si>
  <si>
    <t>Registro Sustancial</t>
  </si>
  <si>
    <t>Registro Material</t>
  </si>
  <si>
    <t>Sin registro</t>
  </si>
  <si>
    <t>Reducir</t>
  </si>
  <si>
    <t>1. Mesas de trabajo con las dependecias, para la socialización de los lineamientos de elaboración de los planes institucionales.
2. Socialización Comité Institucinal de Gestión y Desempeño
3. Publicación en Pagina Web de los Planes Institucionales</t>
  </si>
  <si>
    <t>1. Aprobación por parte de la Oficina Asesora de Planneacion de la información a publicar, a traves de correo electronico o comunicación</t>
  </si>
  <si>
    <t xml:space="preserve">1. Actualizacion Listado Maestro de documentos- Formatos asociados al proceso </t>
  </si>
  <si>
    <t>1. Socialización Comité Institucinal de Gestión y Desempeño
2. Publicación en Pagina Web de los Planes Institucionales</t>
  </si>
  <si>
    <t xml:space="preserve">1. Realizar seguimiento al PAA
2. Publicación en pagina web de la entidad </t>
  </si>
  <si>
    <t xml:space="preserve">1. Elaborar Informes y piezas procesales
2.  Fichas individuales de los procesos e inventario de procesos </t>
  </si>
  <si>
    <t>Este aplica a directores y jefes de oficina, funcionarios y contratistas de CORVIVIENDA</t>
  </si>
  <si>
    <t xml:space="preserve">Posible reporte de información errónea de obligatorio cumplimiento legal a los entes de control </t>
  </si>
  <si>
    <t xml:space="preserve">Posible manipulación de la información generada para beneficios personales o de terceros </t>
  </si>
  <si>
    <t>Posible Formulación errada en el plan estratégico de tecnologías de la información y comunicaciones, no ajustado a la realidad institucional con el fin de agilizar un procedimiento administrativo.</t>
  </si>
  <si>
    <t xml:space="preserve">Posible legalizacion de un predio en beneficio propio o de un tercero </t>
  </si>
  <si>
    <t xml:space="preserve">Posible proyección de reportes generados en el plan anual de auditorias </t>
  </si>
  <si>
    <t xml:space="preserve">
Posibilidad de elaborar contratos a favor de un tercero </t>
  </si>
  <si>
    <t>Seguimiento 1 (Fecha y avance)</t>
  </si>
  <si>
    <t>OBSERVACIONES</t>
  </si>
  <si>
    <t>Seguimiento 2 (Fecha y avance)</t>
  </si>
  <si>
    <t>Seguimiento 3 ... (Fecha y avance)</t>
  </si>
  <si>
    <t>Verificación por parte de segunda línea de defensa o quien haga sus veces 
(Fecha y Descripción)</t>
  </si>
  <si>
    <t>Verificación por parte de la Oficina de Control Interno o quien haga sus veces 
(Fecha y Descripción)</t>
  </si>
  <si>
    <t>Seguimientos por parte del Líder del Proceso</t>
  </si>
  <si>
    <t>La información que se suministra por redes sociales y medios de comunicación desde la entidad surte un proceso de consulta y aprobación por parte de los profesionales a cargo de estos, y las fuentes idóneas dentro de la entidad para suministrar estas comunicaciones. Igualmente, los comunicados de prensa son aprobados por el líder de comunicaciones y la gerente de la entidad antes de ser enviados a los medios de comunicación.</t>
  </si>
  <si>
    <t>https://corvivienda-my.sharepoint.com/:w:/g/personal/comunicaciones_corvivienda_gov_co/EX4m5izvUV1Lj82f9fmr0L4BwPVNAuD4TCQdihP-XE_j5A?e=3igPIB</t>
  </si>
  <si>
    <t>https://www.corvivienda.gov.co/web/index.php/component/sppagebuilder/?view=page&amp;id=246</t>
  </si>
  <si>
    <t>Se cuenta con el plan anual de adquisiciones aprobado y actualizado, las actualizaciones se realizan en el marco de los comités de contratación si es necesario. Se encuentra publicado en pág. web.</t>
  </si>
  <si>
    <t>Se cuenta con los planes institucionales y fueron publicados en la página web</t>
  </si>
  <si>
    <t xml:space="preserve">Se realizo el seguimiento a los planes institucionales y se publicó el porcentaje de avance de estos a corte de 1er trimestre 2024. </t>
  </si>
  <si>
    <t>Se cuenta con los planes institucionales formulados y publicados en pág. web con su seguimiento:
Plan de Vacantes 2024
Plan Capacitación 2024
Plan estratégico de Talento Humano 2024
Plan de Previsión 2024
Plan de Incentivos 2024</t>
  </si>
  <si>
    <t xml:space="preserve">Se cuenta con el Plan Estratégico de Tecnologías de la Información y las Comunicaciones 2024, con su seguimiento publicado en pág. web. </t>
  </si>
  <si>
    <t>https://www.corvivienda.gov.co/web/index.php/component/sppagebuilder/?view=page&amp;id=247</t>
  </si>
  <si>
    <t>No se ha desarrollado esta actividad durante este trimestre, solo se está realizando cierre de obras de proyectos anteriores.</t>
  </si>
  <si>
    <t>Se encontraban pendientes la entrega de 10 subsidios, pero se realizó la recopilación a tiempo y se entregó a Ministerio de vivienda, como se puede evidenciar en el informe de VIPA.
Esta información se presenta al comité VIPA a nivel nacional. 
Evidencia: Informe VIPA
CLP PRESENTACIÓN A VIPA- junio 26 DE 2024 - o.pptx</t>
  </si>
  <si>
    <t>https://corvivienda-my.sharepoint.com/:p:/g/personal/dtecnica_corvivienda_gov_co/EcKTjlYMZ45As70sO2oKyfQBfAcsIIpZjeqEPxumfVABgw?CID=2178e9fa-21f5-3c1b-fd54-2426babbe0ce</t>
  </si>
  <si>
    <t>Se cuenta con los planes institucionales formulados y publicados en pág. web con su seguimiento:</t>
  </si>
  <si>
    <t>Actuallizacion de expedientes con documentos sin el lleno de requisitos formales</t>
  </si>
  <si>
    <t>Posibilidad de Adulterar, modificar, sustraer o eliminar datos o información sensible, confidencial, crítica en beneficio propio o de terceros.</t>
  </si>
  <si>
    <t xml:space="preserve">Para mitigar este riesgo, se realiza préstamo de documentos mediante formato institucionalizado de solicitud de préstamo de documentos de acuerdo con la normatividad archivística y esta solicitud debe hacerse por el correo institucionalizado de archivo@corvivienda.com.co
</t>
  </si>
  <si>
    <t>Seguimiento 4              (fecha y avance)</t>
  </si>
  <si>
    <t xml:space="preserve">https://drive.google.com/file/d/16XOCSevykH5bvvdLb8gi4FuxpFYcympa/view?usp=sharing </t>
  </si>
  <si>
    <t>En este tercer trimestre se realizó seguimiento para tener un control sobre los insumos entregados, a través de un karguex el cual es un informe del inventario de los insumos que se tiene en existencia en el Almacen, en ese informe se realiza una verificación de las cantidades que entran, salen y los saldos que quedan , y si algo se está acabando se pasa el informe al jefe inmediato para así proceder hacer la compra de los insumos que se necesitan.</t>
  </si>
  <si>
    <t>Se realiza seguimiento para tener un control sobre los insumos que se entregan, a través de un karguex que es un informe del inventario que se tiene en existencia en el Almacen, en ese informe se realiza una inspección de las cantidades que entran, que salen y los saldos que quedan , esto con el fin de  verificar las  cantidades  existente que hay , y si se están acabando se pasa el informe al jefe inmediato para así proceder hacer la compra de los insumos que se necesitan.</t>
  </si>
  <si>
    <t>https://docs.google.com/spreadsheets/d/1JzDAQCiSuMQTv0WADVERsS_UFHM_zDTS/edit?usp=sharing&amp;ouid=103032665492727452424&amp;rtpof=true&amp;sd=true</t>
  </si>
  <si>
    <t xml:space="preserve">Es importante resaltar que para este seguimiento el proceso no han llevado a cabo compras debido a falta de presupuesto por lo cual el almacen no cuenta con insumos para custodia        </t>
  </si>
  <si>
    <t xml:space="preserve">                   X </t>
  </si>
  <si>
    <t>Luego del monitoreo no se evidencia materialización de a los riesgos que administra el proceso.</t>
  </si>
  <si>
    <t xml:space="preserve">                  X</t>
  </si>
  <si>
    <t>Para mitigar este riesgo, se realiza préstamo de documentos mediante formato institucionalizado de solicitud de préstamo de documentos de acuerdo con la normatividad archivística y esta solicitud debe hacerse por el correo institucionalizado de archivo@corvivienda.com.co</t>
  </si>
  <si>
    <t>Se cuenta con los documentos de los planes de cada plan institucional como herramienta de direccionamiento. Así mismo, están aprobados  los planes de acción de cada plan institucional con el seguimiento respectivo del primer trimestre.</t>
  </si>
  <si>
    <t>Seguimiento e implementar las políticas de Seguridad y Privacidad de la Información</t>
  </si>
  <si>
    <t xml:space="preserve">Se realizo el seguimiento a los planes institucionales y se publicó el porcentaje de avance de estos a corte de 2do trimestre 2024. </t>
  </si>
  <si>
    <t xml:space="preserve">Se realizo el seguimiento a los planes institucionales y se publicó el porcentaje de avance de estos a corte de 3er trimestre 2024. </t>
  </si>
  <si>
    <t>Se Asigna un funcionario para la consolidación y generación del informe de subsidios a través de cuadros de control con actualización mensual.</t>
  </si>
  <si>
    <t>Se realizan comités de seguimiento de obra semanal y verificar la planeación del proyecto semanalmente.
Se verifica el cumplimiento de la interventoría de Obras con el seguimiento a las especificaciones técnicas aplicada al proyecto y la compra de materiales establecidos en el contrato de obra. 
Se elaboran los informes mensuales.</t>
  </si>
  <si>
    <t xml:space="preserve">Se evidencia en las resoluciones el número de beneficiarios y las resoluciones de adjudicación definitivas. 
Evidencia: RESOLUCIONES DE SORTEOS DE BENEFICIARIOS Y RESOLUCIONES DE ADJUDICACIÓN DE SUBSIDIOS
</t>
  </si>
  <si>
    <t>https://www.corvivienda.gov.co/web/index.php/corvivienda/mi-casa-avanza</t>
  </si>
  <si>
    <t>https://www.corvivienda.gov.co/web/index.php/component/sppagebuilder/?view=page&amp;id=249</t>
  </si>
  <si>
    <t>La información que se suministra por redes sociales y medios de comunicación desde la entidad surte un proceso de  consulta y aprobación por parte de los profesionales a cargo de estos y las fuentes idóneas dentro de la entidad para suministrar estas comunicaciones. Igualmente, los comunicados de prensa son aprobados por la Gerente de la entidad antes de ser enviados a los medios de comunicación.</t>
  </si>
  <si>
    <t>La información suministrada por las redes sociales y medios de comunicación desde la entidad está
sujeta a un proceso de consulta y aprobación por parte de los profesionales a cargo de estos, y las
fuentes idóneas dentro de la entidad para suministrar estas comunicaciones. De Igual manera, los
comunicados de prensa son aprobados por el líder de comunicaciones y la gerente de la entidad
antes de ser enviados a los medios de comunicación.</t>
  </si>
  <si>
    <t>Las publicaciones realizadas en redes sociales y los comunicados emitidos en la página web de Corvivienda y medios de comunicación de la entidad se realizan con información que se consulta, verifica y se emite según la aprobación por parte de los profesionales a cargo de los diferentes procesos o dependencias desde donde se realizan las actividades .De Igual manera los comunicados de prensa son aprobados por el líder de comunicaciones y la gerente de la entidad antes de ser enviados a los medios de comunicación.</t>
  </si>
  <si>
    <t>https://docs.google.com/document/d/10pRC7BYqaIIWziVbuGcAdyrDrTEI50dX/edit?usp=sharing&amp;ouid=103032665492727452424&amp;rtpof=true&amp;sd=true</t>
  </si>
  <si>
    <t>https://docs.google.com/document/d/1kryOfDFor-qkSoQXk6BY6xDWb3_h9IiU/edit?usp=sharing&amp;ouid=103032665492727452424&amp;rtpof=true&amp;sd=true</t>
  </si>
  <si>
    <t>https://drive.google.com/file/d/1CeIW24UBEbrnwVqBSIMD_4hpsMJyT4h1/view?usp=sharing</t>
  </si>
  <si>
    <t>https://drive.google.com/file/d/1U8t1PQunDWkMgrL1-HezqjQfhchLw2HQ/view?usp=sharing</t>
  </si>
  <si>
    <t>https://drive.google.com/file/d/1_guEfbDJkBRrQw4b6bBSb9Q1DHyiRdE2/view?usp=sharing</t>
  </si>
  <si>
    <t>https://corvivienda-my.sharepoint.com/:f:/g/personal/direccion_administrativa_corvivienda_gov_co/EiosI43l47tAn6dBbSkvXRMBrjCwwtmxK155Qc1nXOe5Gw?e=YrZDfd</t>
  </si>
  <si>
    <t>Para el cuarto trimestre se realizó seguimiento y verificación de los insumos entregados, para tener un control de los insumos que se tiene en existencia en el Almacen, se realiza una verificación de las cantidades que entran, salen y los saldos que quedan y si algo se está acabando se pasa el informe al jefe inmediato para así proceder hacer la compra de los insumos que se necesitan.</t>
  </si>
  <si>
    <t>https://corvivienda-my.sharepoint.com/:f:/g/personal/atencionalusuario_2_corvivienda_gov_co/Eq9AZZrbywtEvRw90U05aaMBo_5EXEVTns83PzTZYbRGDQ?e=hZMUMZ</t>
  </si>
  <si>
    <t>https://corvivienda-my.sharepoint.com/:x:/g/personal/atencionalusuario_2_corvivienda_gov_co/ERTzeyjam5hFnXX1Fctjv7sBSaMcXS3s4Be5Vp7F2d4JUA?e=N23eA6</t>
  </si>
  <si>
    <t>la oficina asesora juridica cuenta con matriz  en la nube, que permite a los abogados el diligenciar, a notar los avances y el estado  de cada proceso</t>
  </si>
  <si>
    <t>https://corvivienda-my.sharepoint.com/:x:/g/personal/atencionalusuario_2_corvivienda_gov_co/ERTzeyjam5hFnXX1Fctjv7sBSaMcXS3s4Be5Vp7F2d4JUA?e=N23eA7</t>
  </si>
  <si>
    <t>https://corvivienda-my.sharepoint.com/:b:/g/personal/atencionalusuario_2_corvivienda_gov_co/EUpV2nDOzTZAq8TRmRNwQNkBYB2VgXspFghYv5DCXxiS2w?e=dGrcnq</t>
  </si>
  <si>
    <t>https://corvivienda-my.sharepoint.com/:b:/g/personal/atencionalusuario_2_corvivienda_gov_co/EdPFWZKfHN9HgoWHy89SMFoBwn8u0ndFMiBz3wCp4PYYAQ?e=ZsiJq0</t>
  </si>
  <si>
    <t>https://corvivienda-my.sharepoint.com/:b:/g/personal/atencionalusuario_2_corvivienda_gov_co/EeJN29ARwrBHhByRqG0y4_YBbLDRfVU7v1fDOCJpA7uRHA?e=tv5FLq</t>
  </si>
  <si>
    <t>https://corvivienda-my.sharepoint.com/:b:/g/personal/atencionalusuario_2_corvivienda_gov_co/EcwvzOuXvnpNpTaHKRfwCH0BRXmfyyOO8_FatJhbsA0Alw?e=WfLCKI</t>
  </si>
  <si>
    <t>la verificación de las PQRS de la entidad que hayan sido atendidas a través de los diferentes canales y logrando controlar el ingreso y el estado actual de cada requerimiento</t>
  </si>
  <si>
    <t>Se cuenta un archivo digital de las diferentes solicitudes con los requerimientos y documentación de minutas de posesión y documentos que acrediten el proceso de título de propiedad</t>
  </si>
  <si>
    <t>Controles verificados y validados por parte de la oficina asesora de planeación</t>
  </si>
  <si>
    <t>No se aportaron evidencias durante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</si>
</sst>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x14ac:knownFonts="1">
    <font>
      <sz val="11"/>
      <color theme="1"/>
      <name val="Calibri"/>
      <family val="2"/>
      <scheme val="minor"/>
    </font>
    <font>
      <sz val="11"/>
      <color theme="1"/>
      <name val="Arial"/>
      <family val="2"/>
    </font>
    <font>
      <sz val="10"/>
      <color rgb="FF000000"/>
      <name val="Arial Narrow"/>
      <family val="2"/>
    </font>
    <font>
      <b/>
      <sz val="11"/>
      <color theme="1"/>
      <name val="Arial Narrow"/>
      <family val="2"/>
    </font>
    <font>
      <sz val="10"/>
      <color theme="1"/>
      <name val="Calibri"/>
      <family val="2"/>
      <scheme val="minor"/>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030303"/>
      <name val="Arial"/>
      <family val="2"/>
    </font>
    <font>
      <sz val="24"/>
      <name val="Arial"/>
      <family val="2"/>
    </font>
    <font>
      <sz val="24"/>
      <color theme="1"/>
      <name val="Arial Narrow"/>
      <family val="2"/>
    </font>
    <font>
      <b/>
      <sz val="24"/>
      <color rgb="FF000000"/>
      <name val="Calibri"/>
      <family val="2"/>
    </font>
    <font>
      <b/>
      <sz val="20"/>
      <color theme="1"/>
      <name val="Calibri"/>
      <family val="2"/>
      <scheme val="minor"/>
    </font>
    <font>
      <sz val="10"/>
      <name val="Arial"/>
      <family val="2"/>
    </font>
    <font>
      <sz val="12"/>
      <name val="Times New Roman"/>
      <family val="1"/>
    </font>
    <font>
      <sz val="11"/>
      <color rgb="FFFF0000"/>
      <name val="Arial"/>
      <family val="2"/>
    </font>
    <font>
      <b/>
      <sz val="11"/>
      <color theme="1"/>
      <name val="Arial"/>
      <family val="2"/>
    </font>
    <font>
      <sz val="11"/>
      <color theme="0"/>
      <name val="Arial"/>
      <family val="2"/>
    </font>
    <font>
      <b/>
      <sz val="16"/>
      <color theme="1"/>
      <name val="Arial"/>
      <family val="2"/>
    </font>
    <font>
      <b/>
      <sz val="18"/>
      <color theme="1"/>
      <name val="Arial"/>
      <family val="2"/>
    </font>
    <font>
      <sz val="14"/>
      <color theme="1"/>
      <name val="Arial"/>
      <family val="2"/>
    </font>
    <font>
      <b/>
      <sz val="14"/>
      <color theme="1"/>
      <name val="Arial"/>
      <family val="2"/>
    </font>
    <font>
      <sz val="11"/>
      <name val="Arial"/>
      <family val="2"/>
    </font>
    <font>
      <sz val="10"/>
      <color theme="1"/>
      <name val="Arial"/>
      <family val="2"/>
    </font>
    <font>
      <b/>
      <sz val="24"/>
      <color theme="1"/>
      <name val="Arial"/>
      <family val="2"/>
    </font>
    <font>
      <b/>
      <sz val="12"/>
      <color theme="1"/>
      <name val="Arial"/>
      <family val="2"/>
    </font>
    <font>
      <sz val="12"/>
      <color theme="1"/>
      <name val="Arial"/>
      <family val="2"/>
    </font>
    <font>
      <sz val="16"/>
      <color theme="1"/>
      <name val="Arial"/>
      <family val="2"/>
    </font>
    <font>
      <sz val="16"/>
      <name val="Arial"/>
      <family val="2"/>
    </font>
    <font>
      <b/>
      <sz val="12"/>
      <color theme="9" tint="-0.249977111117893"/>
      <name val="Arial"/>
      <family val="2"/>
    </font>
    <font>
      <b/>
      <sz val="14"/>
      <name val="Arial"/>
      <family val="2"/>
    </font>
    <font>
      <b/>
      <sz val="10"/>
      <name val="Arial"/>
      <family val="2"/>
    </font>
    <font>
      <b/>
      <u/>
      <sz val="11"/>
      <name val="Arial"/>
      <family val="2"/>
    </font>
    <font>
      <b/>
      <sz val="11"/>
      <name val="Arial"/>
      <family val="2"/>
    </font>
    <font>
      <b/>
      <sz val="9"/>
      <name val="Arial"/>
      <family val="2"/>
    </font>
    <font>
      <sz val="9"/>
      <name val="Arial"/>
      <family val="2"/>
    </font>
    <font>
      <b/>
      <sz val="14"/>
      <color rgb="FF000000"/>
      <name val="Arial"/>
      <family val="2"/>
    </font>
    <font>
      <b/>
      <sz val="12"/>
      <color rgb="FF000000"/>
      <name val="Arial"/>
      <family val="2"/>
    </font>
    <font>
      <sz val="12"/>
      <color rgb="FF000000"/>
      <name val="Arial"/>
      <family val="2"/>
    </font>
    <font>
      <b/>
      <sz val="12"/>
      <name val="Arial"/>
      <family val="2"/>
    </font>
    <font>
      <b/>
      <sz val="9"/>
      <color theme="1"/>
      <name val="Arial"/>
      <family val="2"/>
    </font>
    <font>
      <sz val="12"/>
      <name val="Arial"/>
      <family val="2"/>
    </font>
    <font>
      <b/>
      <sz val="26"/>
      <color theme="1"/>
      <name val="Arial"/>
      <family val="2"/>
    </font>
    <font>
      <b/>
      <sz val="24"/>
      <color rgb="FF000000"/>
      <name val="Arial"/>
      <family val="2"/>
    </font>
    <font>
      <sz val="26"/>
      <color rgb="FF000000"/>
      <name val="Arial"/>
      <family val="2"/>
    </font>
    <font>
      <sz val="26"/>
      <color rgb="FFFFFFFF"/>
      <name val="Arial"/>
      <family val="2"/>
    </font>
    <font>
      <sz val="16"/>
      <color rgb="FF000000"/>
      <name val="Arial"/>
      <family val="2"/>
    </font>
    <font>
      <sz val="16"/>
      <color rgb="FFFF0000"/>
      <name val="Arial"/>
      <family val="2"/>
    </font>
    <font>
      <sz val="20"/>
      <color theme="1"/>
      <name val="Arial"/>
      <family val="2"/>
    </font>
    <font>
      <sz val="11"/>
      <name val="Tahoma"/>
      <family val="2"/>
    </font>
    <font>
      <u/>
      <sz val="11"/>
      <color theme="10"/>
      <name val="Calibri"/>
      <family val="2"/>
      <scheme val="minor"/>
    </font>
    <font>
      <b/>
      <u/>
      <sz val="12"/>
      <color theme="3" tint="0.39997558519241921"/>
      <name val="Calibri"/>
      <family val="2"/>
      <scheme val="minor"/>
    </font>
    <font>
      <u/>
      <sz val="11"/>
      <color theme="3" tint="0.39997558519241921"/>
      <name val="Calibri"/>
      <family val="2"/>
      <scheme val="minor"/>
    </font>
    <font>
      <b/>
      <u/>
      <sz val="11"/>
      <color theme="3" tint="0.39997558519241921"/>
      <name val="Calibri"/>
      <family val="2"/>
      <scheme val="minor"/>
    </font>
    <font>
      <b/>
      <u/>
      <sz val="11"/>
      <color theme="4"/>
      <name val="Calibri"/>
      <family val="2"/>
      <scheme val="minor"/>
    </font>
    <font>
      <sz val="8"/>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rgb="FFE2EFDA"/>
        <bgColor indexed="64"/>
      </patternFill>
    </fill>
    <fill>
      <patternFill patternType="solid">
        <fgColor rgb="FF00B0F0"/>
        <bgColor indexed="64"/>
      </patternFill>
    </fill>
  </fills>
  <borders count="70">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9" fontId="9" fillId="0" borderId="0" applyFont="0" applyFill="0" applyBorder="0" applyAlignment="0" applyProtection="0"/>
    <xf numFmtId="0" fontId="26" fillId="0" borderId="0"/>
    <xf numFmtId="0" fontId="27" fillId="0" borderId="0"/>
    <xf numFmtId="0" fontId="4" fillId="0" borderId="0"/>
    <xf numFmtId="0" fontId="63" fillId="0" borderId="0" applyNumberFormat="0" applyFill="0" applyBorder="0" applyAlignment="0" applyProtection="0"/>
  </cellStyleXfs>
  <cellXfs count="399">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5" fillId="0" borderId="0" xfId="0" applyFont="1" applyAlignment="1">
      <alignment horizontal="center" vertical="center" wrapText="1"/>
    </xf>
    <xf numFmtId="0" fontId="21" fillId="0" borderId="0" xfId="0" applyFont="1"/>
    <xf numFmtId="0" fontId="14" fillId="10" borderId="2" xfId="0" applyFont="1" applyFill="1" applyBorder="1" applyAlignment="1" applyProtection="1">
      <alignment horizontal="center" vertical="center" wrapText="1" readingOrder="1"/>
      <protection hidden="1"/>
    </xf>
    <xf numFmtId="0" fontId="14" fillId="10" borderId="9" xfId="0" applyFont="1" applyFill="1" applyBorder="1" applyAlignment="1" applyProtection="1">
      <alignment horizontal="center" vertical="center" wrapText="1" readingOrder="1"/>
      <protection hidden="1"/>
    </xf>
    <xf numFmtId="0" fontId="14" fillId="10" borderId="3" xfId="0" applyFont="1" applyFill="1" applyBorder="1" applyAlignment="1" applyProtection="1">
      <alignment horizontal="center" vertical="center" wrapText="1" readingOrder="1"/>
      <protection hidden="1"/>
    </xf>
    <xf numFmtId="0" fontId="14" fillId="11" borderId="2" xfId="0" applyFont="1" applyFill="1" applyBorder="1" applyAlignment="1" applyProtection="1">
      <alignment horizontal="center" wrapText="1" readingOrder="1"/>
      <protection hidden="1"/>
    </xf>
    <xf numFmtId="0" fontId="14" fillId="11" borderId="9" xfId="0" applyFont="1" applyFill="1" applyBorder="1" applyAlignment="1" applyProtection="1">
      <alignment horizontal="center" wrapText="1" readingOrder="1"/>
      <protection hidden="1"/>
    </xf>
    <xf numFmtId="0" fontId="14" fillId="11" borderId="3" xfId="0" applyFont="1" applyFill="1" applyBorder="1" applyAlignment="1" applyProtection="1">
      <alignment horizontal="center" wrapText="1" readingOrder="1"/>
      <protection hidden="1"/>
    </xf>
    <xf numFmtId="0" fontId="14" fillId="10" borderId="4" xfId="0" applyFont="1" applyFill="1" applyBorder="1" applyAlignment="1" applyProtection="1">
      <alignment horizontal="center" vertical="center" wrapText="1" readingOrder="1"/>
      <protection hidden="1"/>
    </xf>
    <xf numFmtId="0" fontId="14" fillId="10" borderId="0" xfId="0" applyFont="1" applyFill="1" applyAlignment="1" applyProtection="1">
      <alignment horizontal="center" vertical="center" wrapText="1" readingOrder="1"/>
      <protection hidden="1"/>
    </xf>
    <xf numFmtId="0" fontId="14" fillId="10" borderId="5" xfId="0" applyFont="1" applyFill="1" applyBorder="1" applyAlignment="1" applyProtection="1">
      <alignment horizontal="center" vertical="center" wrapText="1" readingOrder="1"/>
      <protection hidden="1"/>
    </xf>
    <xf numFmtId="0" fontId="14" fillId="11" borderId="4" xfId="0" applyFont="1" applyFill="1" applyBorder="1" applyAlignment="1" applyProtection="1">
      <alignment horizontal="center" wrapText="1" readingOrder="1"/>
      <protection hidden="1"/>
    </xf>
    <xf numFmtId="0" fontId="14" fillId="11" borderId="0" xfId="0" applyFont="1" applyFill="1" applyAlignment="1" applyProtection="1">
      <alignment horizontal="center" wrapText="1" readingOrder="1"/>
      <protection hidden="1"/>
    </xf>
    <xf numFmtId="0" fontId="14" fillId="11" borderId="5" xfId="0" applyFont="1" applyFill="1" applyBorder="1" applyAlignment="1" applyProtection="1">
      <alignment horizontal="center" wrapText="1" readingOrder="1"/>
      <protection hidden="1"/>
    </xf>
    <xf numFmtId="0" fontId="14" fillId="10" borderId="6" xfId="0" applyFont="1" applyFill="1" applyBorder="1" applyAlignment="1" applyProtection="1">
      <alignment horizontal="center" vertical="center" wrapText="1" readingOrder="1"/>
      <protection hidden="1"/>
    </xf>
    <xf numFmtId="0" fontId="14" fillId="10" borderId="8" xfId="0" applyFont="1" applyFill="1" applyBorder="1" applyAlignment="1" applyProtection="1">
      <alignment horizontal="center" vertical="center" wrapText="1" readingOrder="1"/>
      <protection hidden="1"/>
    </xf>
    <xf numFmtId="0" fontId="14" fillId="10" borderId="7" xfId="0" applyFont="1" applyFill="1" applyBorder="1" applyAlignment="1" applyProtection="1">
      <alignment horizontal="center" vertical="center" wrapText="1" readingOrder="1"/>
      <protection hidden="1"/>
    </xf>
    <xf numFmtId="0" fontId="14" fillId="11" borderId="6" xfId="0" applyFont="1" applyFill="1" applyBorder="1" applyAlignment="1" applyProtection="1">
      <alignment horizontal="center" wrapText="1" readingOrder="1"/>
      <protection hidden="1"/>
    </xf>
    <xf numFmtId="0" fontId="14" fillId="11" borderId="8" xfId="0" applyFont="1" applyFill="1" applyBorder="1" applyAlignment="1" applyProtection="1">
      <alignment horizontal="center" wrapText="1" readingOrder="1"/>
      <protection hidden="1"/>
    </xf>
    <xf numFmtId="0" fontId="14" fillId="11" borderId="7" xfId="0" applyFont="1" applyFill="1" applyBorder="1" applyAlignment="1" applyProtection="1">
      <alignment horizontal="center" wrapText="1" readingOrder="1"/>
      <protection hidden="1"/>
    </xf>
    <xf numFmtId="0" fontId="14" fillId="12" borderId="2" xfId="0" applyFont="1" applyFill="1" applyBorder="1" applyAlignment="1" applyProtection="1">
      <alignment horizontal="center" wrapText="1" readingOrder="1"/>
      <protection hidden="1"/>
    </xf>
    <xf numFmtId="0" fontId="14" fillId="12" borderId="9" xfId="0" applyFont="1" applyFill="1" applyBorder="1" applyAlignment="1" applyProtection="1">
      <alignment horizontal="center" wrapText="1" readingOrder="1"/>
      <protection hidden="1"/>
    </xf>
    <xf numFmtId="0" fontId="14" fillId="12" borderId="3" xfId="0" applyFont="1" applyFill="1" applyBorder="1" applyAlignment="1" applyProtection="1">
      <alignment horizontal="center" wrapText="1" readingOrder="1"/>
      <protection hidden="1"/>
    </xf>
    <xf numFmtId="0" fontId="14" fillId="12" borderId="4" xfId="0" applyFont="1" applyFill="1" applyBorder="1" applyAlignment="1" applyProtection="1">
      <alignment horizontal="center" wrapText="1" readingOrder="1"/>
      <protection hidden="1"/>
    </xf>
    <xf numFmtId="0" fontId="14" fillId="12" borderId="0" xfId="0" applyFont="1" applyFill="1" applyAlignment="1" applyProtection="1">
      <alignment horizontal="center" wrapText="1" readingOrder="1"/>
      <protection hidden="1"/>
    </xf>
    <xf numFmtId="0" fontId="14" fillId="12" borderId="5" xfId="0" applyFont="1" applyFill="1" applyBorder="1" applyAlignment="1" applyProtection="1">
      <alignment horizontal="center" wrapText="1" readingOrder="1"/>
      <protection hidden="1"/>
    </xf>
    <xf numFmtId="0" fontId="14" fillId="12" borderId="6" xfId="0" applyFont="1" applyFill="1" applyBorder="1" applyAlignment="1" applyProtection="1">
      <alignment horizontal="center" wrapText="1" readingOrder="1"/>
      <protection hidden="1"/>
    </xf>
    <xf numFmtId="0" fontId="14" fillId="12" borderId="8" xfId="0" applyFont="1" applyFill="1" applyBorder="1" applyAlignment="1" applyProtection="1">
      <alignment horizontal="center" wrapText="1" readingOrder="1"/>
      <protection hidden="1"/>
    </xf>
    <xf numFmtId="0" fontId="14" fillId="12" borderId="7" xfId="0" applyFont="1" applyFill="1" applyBorder="1" applyAlignment="1" applyProtection="1">
      <alignment horizontal="center" wrapText="1" readingOrder="1"/>
      <protection hidden="1"/>
    </xf>
    <xf numFmtId="0" fontId="14" fillId="4" borderId="2" xfId="0" applyFont="1" applyFill="1" applyBorder="1" applyAlignment="1" applyProtection="1">
      <alignment horizontal="center" wrapText="1" readingOrder="1"/>
      <protection hidden="1"/>
    </xf>
    <xf numFmtId="0" fontId="14" fillId="4" borderId="9" xfId="0" applyFont="1" applyFill="1" applyBorder="1" applyAlignment="1" applyProtection="1">
      <alignment horizontal="center" wrapText="1" readingOrder="1"/>
      <protection hidden="1"/>
    </xf>
    <xf numFmtId="0" fontId="14" fillId="4" borderId="3" xfId="0" applyFont="1" applyFill="1" applyBorder="1" applyAlignment="1" applyProtection="1">
      <alignment horizontal="center" wrapText="1" readingOrder="1"/>
      <protection hidden="1"/>
    </xf>
    <xf numFmtId="0" fontId="14" fillId="4" borderId="4" xfId="0" applyFont="1" applyFill="1" applyBorder="1" applyAlignment="1" applyProtection="1">
      <alignment horizontal="center" wrapText="1" readingOrder="1"/>
      <protection hidden="1"/>
    </xf>
    <xf numFmtId="0" fontId="14" fillId="4" borderId="0" xfId="0" applyFont="1" applyFill="1" applyAlignment="1" applyProtection="1">
      <alignment horizontal="center" wrapText="1" readingOrder="1"/>
      <protection hidden="1"/>
    </xf>
    <xf numFmtId="0" fontId="14" fillId="4" borderId="5" xfId="0" applyFont="1" applyFill="1" applyBorder="1" applyAlignment="1" applyProtection="1">
      <alignment horizontal="center" wrapText="1" readingOrder="1"/>
      <protection hidden="1"/>
    </xf>
    <xf numFmtId="0" fontId="14" fillId="4" borderId="6" xfId="0" applyFont="1" applyFill="1" applyBorder="1" applyAlignment="1" applyProtection="1">
      <alignment horizontal="center" wrapText="1" readingOrder="1"/>
      <protection hidden="1"/>
    </xf>
    <xf numFmtId="0" fontId="14" fillId="4" borderId="8" xfId="0" applyFont="1" applyFill="1" applyBorder="1" applyAlignment="1" applyProtection="1">
      <alignment horizontal="center" wrapText="1" readingOrder="1"/>
      <protection hidden="1"/>
    </xf>
    <xf numFmtId="0" fontId="14" fillId="4" borderId="7"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0" fillId="2" borderId="0" xfId="0" applyFill="1"/>
    <xf numFmtId="0" fontId="11" fillId="2" borderId="0" xfId="0" applyFont="1" applyFill="1" applyAlignment="1">
      <alignment vertical="center"/>
    </xf>
    <xf numFmtId="0" fontId="22" fillId="2" borderId="0" xfId="0" applyFont="1" applyFill="1" applyAlignment="1">
      <alignment horizontal="center" vertical="center" wrapText="1"/>
    </xf>
    <xf numFmtId="0" fontId="10" fillId="2" borderId="0" xfId="0" applyFont="1" applyFill="1"/>
    <xf numFmtId="0" fontId="3" fillId="2" borderId="0" xfId="0" applyFont="1" applyFill="1" applyAlignment="1">
      <alignment horizontal="left" vertical="center"/>
    </xf>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1" fillId="2" borderId="0" xfId="0" applyFont="1" applyFill="1"/>
    <xf numFmtId="0" fontId="1" fillId="2" borderId="0" xfId="0" applyFont="1" applyFill="1" applyAlignment="1">
      <alignment vertical="center"/>
    </xf>
    <xf numFmtId="0" fontId="1" fillId="0" borderId="0" xfId="0" applyFont="1" applyAlignment="1">
      <alignment vertical="center"/>
    </xf>
    <xf numFmtId="0" fontId="34" fillId="13" borderId="18" xfId="0" applyFont="1" applyFill="1" applyBorder="1" applyAlignment="1">
      <alignment horizontal="center" vertical="center" textRotation="90"/>
    </xf>
    <xf numFmtId="0" fontId="39" fillId="2" borderId="0" xfId="0" applyFont="1" applyFill="1"/>
    <xf numFmtId="0" fontId="38" fillId="2" borderId="0" xfId="0" applyFont="1" applyFill="1" applyAlignment="1">
      <alignment horizontal="center" vertical="center"/>
    </xf>
    <xf numFmtId="0" fontId="39" fillId="0" borderId="0" xfId="0" applyFont="1"/>
    <xf numFmtId="0" fontId="38" fillId="0" borderId="0" xfId="0" applyFont="1" applyAlignment="1">
      <alignment horizontal="center" vertical="center"/>
    </xf>
    <xf numFmtId="0" fontId="35" fillId="2" borderId="0" xfId="0" applyFont="1" applyFill="1"/>
    <xf numFmtId="0" fontId="26" fillId="2" borderId="36" xfId="2" applyFill="1" applyBorder="1"/>
    <xf numFmtId="0" fontId="26" fillId="2" borderId="37" xfId="2" applyFill="1" applyBorder="1"/>
    <xf numFmtId="0" fontId="26" fillId="2" borderId="38" xfId="2" applyFill="1" applyBorder="1"/>
    <xf numFmtId="0" fontId="45" fillId="2" borderId="4" xfId="2" quotePrefix="1" applyFont="1" applyFill="1" applyBorder="1" applyAlignment="1">
      <alignment horizontal="left" vertical="top" wrapText="1"/>
    </xf>
    <xf numFmtId="0" fontId="46" fillId="2" borderId="0" xfId="2" quotePrefix="1" applyFont="1" applyFill="1" applyAlignment="1">
      <alignment horizontal="left" vertical="top" wrapText="1"/>
    </xf>
    <xf numFmtId="0" fontId="46" fillId="2" borderId="5" xfId="2" quotePrefix="1" applyFont="1" applyFill="1" applyBorder="1" applyAlignment="1">
      <alignment horizontal="left" vertical="top" wrapText="1"/>
    </xf>
    <xf numFmtId="0" fontId="26" fillId="2" borderId="4" xfId="2" applyFill="1" applyBorder="1"/>
    <xf numFmtId="0" fontId="26" fillId="2" borderId="0" xfId="2" applyFill="1"/>
    <xf numFmtId="0" fontId="44" fillId="2" borderId="0" xfId="2" applyFont="1" applyFill="1" applyAlignment="1">
      <alignment horizontal="left" vertical="center" wrapText="1"/>
    </xf>
    <xf numFmtId="0" fontId="26" fillId="2" borderId="0" xfId="2" applyFill="1" applyAlignment="1">
      <alignment horizontal="left" vertical="center" wrapText="1"/>
    </xf>
    <xf numFmtId="0" fontId="26" fillId="2" borderId="0" xfId="2" quotePrefix="1" applyFill="1" applyAlignment="1">
      <alignment horizontal="left" vertical="center" wrapText="1"/>
    </xf>
    <xf numFmtId="0" fontId="26" fillId="2" borderId="5" xfId="2" applyFill="1" applyBorder="1"/>
    <xf numFmtId="0" fontId="47" fillId="2" borderId="0" xfId="0" applyFont="1" applyFill="1" applyAlignment="1">
      <alignment horizontal="left" vertical="center" wrapText="1"/>
    </xf>
    <xf numFmtId="0" fontId="48" fillId="2" borderId="0" xfId="0" applyFont="1" applyFill="1" applyAlignment="1">
      <alignment horizontal="left" vertical="top" wrapText="1"/>
    </xf>
    <xf numFmtId="0" fontId="26" fillId="2" borderId="6" xfId="2" applyFill="1" applyBorder="1"/>
    <xf numFmtId="0" fontId="26" fillId="2" borderId="8" xfId="2" applyFill="1" applyBorder="1"/>
    <xf numFmtId="0" fontId="26" fillId="2" borderId="7" xfId="2" applyFill="1" applyBorder="1"/>
    <xf numFmtId="0" fontId="36" fillId="2" borderId="0" xfId="0" applyFont="1" applyFill="1"/>
    <xf numFmtId="0" fontId="50" fillId="13" borderId="30" xfId="0" applyFont="1" applyFill="1" applyBorder="1" applyAlignment="1">
      <alignment horizontal="center" vertical="center" wrapText="1" readingOrder="1"/>
    </xf>
    <xf numFmtId="0" fontId="50" fillId="13" borderId="31" xfId="0" applyFont="1" applyFill="1" applyBorder="1" applyAlignment="1">
      <alignment horizontal="center" vertical="center" wrapText="1" readingOrder="1"/>
    </xf>
    <xf numFmtId="0" fontId="50" fillId="2" borderId="19" xfId="0" applyFont="1" applyFill="1" applyBorder="1" applyAlignment="1">
      <alignment horizontal="center" vertical="center" wrapText="1" readingOrder="1"/>
    </xf>
    <xf numFmtId="0" fontId="51" fillId="2" borderId="19" xfId="0" applyFont="1" applyFill="1" applyBorder="1" applyAlignment="1">
      <alignment horizontal="justify" vertical="center" wrapText="1" readingOrder="1"/>
    </xf>
    <xf numFmtId="9" fontId="50" fillId="2" borderId="28" xfId="0" applyNumberFormat="1" applyFont="1" applyFill="1" applyBorder="1" applyAlignment="1">
      <alignment horizontal="center" vertical="center" wrapText="1" readingOrder="1"/>
    </xf>
    <xf numFmtId="0" fontId="50" fillId="2" borderId="18" xfId="0" applyFont="1" applyFill="1" applyBorder="1" applyAlignment="1">
      <alignment horizontal="center" vertical="center" wrapText="1" readingOrder="1"/>
    </xf>
    <xf numFmtId="0" fontId="51" fillId="2" borderId="18" xfId="0" applyFont="1" applyFill="1" applyBorder="1" applyAlignment="1">
      <alignment horizontal="justify" vertical="center" wrapText="1" readingOrder="1"/>
    </xf>
    <xf numFmtId="9" fontId="50" fillId="2" borderId="23" xfId="0" applyNumberFormat="1" applyFont="1" applyFill="1" applyBorder="1" applyAlignment="1">
      <alignment horizontal="center" vertical="center" wrapText="1" readingOrder="1"/>
    </xf>
    <xf numFmtId="0" fontId="51" fillId="2" borderId="23" xfId="0" applyFont="1" applyFill="1" applyBorder="1" applyAlignment="1">
      <alignment horizontal="center" vertical="center" wrapText="1" readingOrder="1"/>
    </xf>
    <xf numFmtId="0" fontId="50" fillId="2" borderId="25" xfId="0" applyFont="1" applyFill="1" applyBorder="1" applyAlignment="1">
      <alignment horizontal="center" vertical="center" wrapText="1" readingOrder="1"/>
    </xf>
    <xf numFmtId="0" fontId="51" fillId="2" borderId="25" xfId="0" applyFont="1" applyFill="1" applyBorder="1" applyAlignment="1">
      <alignment horizontal="justify" vertical="center" wrapText="1" readingOrder="1"/>
    </xf>
    <xf numFmtId="0" fontId="51" fillId="2" borderId="26" xfId="0" applyFont="1" applyFill="1" applyBorder="1" applyAlignment="1">
      <alignment horizontal="center" vertical="center" wrapText="1" readingOrder="1"/>
    </xf>
    <xf numFmtId="0" fontId="53" fillId="2" borderId="0" xfId="0" applyFont="1" applyFill="1"/>
    <xf numFmtId="0" fontId="30" fillId="2" borderId="0" xfId="0" applyFont="1" applyFill="1"/>
    <xf numFmtId="0" fontId="59" fillId="2" borderId="0" xfId="0" applyFont="1" applyFill="1" applyAlignment="1">
      <alignment horizontal="justify" vertical="center" wrapText="1" readingOrder="1"/>
    </xf>
    <xf numFmtId="0" fontId="29" fillId="2" borderId="0" xfId="0" applyFont="1" applyFill="1" applyAlignment="1">
      <alignment vertical="center"/>
    </xf>
    <xf numFmtId="0" fontId="30" fillId="0" borderId="0" xfId="0" applyFont="1"/>
    <xf numFmtId="0" fontId="59" fillId="0" borderId="0" xfId="0" applyFont="1" applyAlignment="1">
      <alignment horizontal="justify" vertical="center" wrapText="1" readingOrder="1"/>
    </xf>
    <xf numFmtId="0" fontId="60" fillId="0" borderId="0" xfId="0" applyFont="1" applyAlignment="1">
      <alignment vertical="center"/>
    </xf>
    <xf numFmtId="0" fontId="1" fillId="0" borderId="0" xfId="0" pivotButton="1" applyFont="1"/>
    <xf numFmtId="0" fontId="60" fillId="0" borderId="0" xfId="0" applyFont="1"/>
    <xf numFmtId="0" fontId="28" fillId="0" borderId="0" xfId="0" applyFont="1"/>
    <xf numFmtId="0" fontId="35" fillId="0" borderId="0" xfId="0" applyFont="1"/>
    <xf numFmtId="0" fontId="56" fillId="5" borderId="18" xfId="0" applyFont="1" applyFill="1" applyBorder="1" applyAlignment="1">
      <alignment horizontal="center" vertical="center" wrapText="1" readingOrder="1"/>
    </xf>
    <xf numFmtId="0" fontId="57" fillId="0" borderId="18" xfId="0" applyFont="1" applyBorder="1" applyAlignment="1">
      <alignment horizontal="center" vertical="center" wrapText="1" readingOrder="1"/>
    </xf>
    <xf numFmtId="0" fontId="57" fillId="0" borderId="18" xfId="0" applyFont="1" applyBorder="1" applyAlignment="1">
      <alignment horizontal="justify" vertical="center" wrapText="1" readingOrder="1"/>
    </xf>
    <xf numFmtId="0" fontId="57" fillId="4" borderId="18" xfId="0" applyFont="1" applyFill="1" applyBorder="1" applyAlignment="1">
      <alignment horizontal="center" vertical="center" wrapText="1" readingOrder="1"/>
    </xf>
    <xf numFmtId="0" fontId="57" fillId="6" borderId="18" xfId="0" applyFont="1" applyFill="1" applyBorder="1" applyAlignment="1">
      <alignment horizontal="center" vertical="center" wrapText="1" readingOrder="1"/>
    </xf>
    <xf numFmtId="0" fontId="57" fillId="3" borderId="18" xfId="0" applyFont="1" applyFill="1" applyBorder="1" applyAlignment="1">
      <alignment horizontal="center" vertical="center" wrapText="1" readingOrder="1"/>
    </xf>
    <xf numFmtId="0" fontId="57" fillId="7" borderId="18" xfId="0" applyFont="1" applyFill="1" applyBorder="1" applyAlignment="1">
      <alignment horizontal="center" vertical="center" wrapText="1" readingOrder="1"/>
    </xf>
    <xf numFmtId="0" fontId="58" fillId="8" borderId="18" xfId="0" applyFont="1" applyFill="1" applyBorder="1" applyAlignment="1">
      <alignment horizontal="center" vertical="center" wrapText="1" readingOrder="1"/>
    </xf>
    <xf numFmtId="0" fontId="7" fillId="4" borderId="18" xfId="0" applyFont="1" applyFill="1" applyBorder="1" applyAlignment="1">
      <alignment horizontal="center" vertical="center" wrapText="1" readingOrder="1"/>
    </xf>
    <xf numFmtId="0" fontId="7" fillId="0" borderId="18" xfId="0" applyFont="1" applyBorder="1" applyAlignment="1">
      <alignment horizontal="justify" vertical="center" wrapText="1" readingOrder="1"/>
    </xf>
    <xf numFmtId="9" fontId="7" fillId="0" borderId="18" xfId="0" applyNumberFormat="1" applyFont="1" applyBorder="1" applyAlignment="1">
      <alignment horizontal="center" vertical="center" wrapText="1" readingOrder="1"/>
    </xf>
    <xf numFmtId="0" fontId="7" fillId="6" borderId="18" xfId="0" applyFont="1" applyFill="1" applyBorder="1" applyAlignment="1">
      <alignment horizontal="center" vertical="center" wrapText="1" readingOrder="1"/>
    </xf>
    <xf numFmtId="0" fontId="7" fillId="3" borderId="18" xfId="0" applyFont="1" applyFill="1" applyBorder="1" applyAlignment="1">
      <alignment horizontal="center" vertical="center" wrapText="1" readingOrder="1"/>
    </xf>
    <xf numFmtId="0" fontId="7" fillId="7" borderId="18" xfId="0" applyFont="1" applyFill="1" applyBorder="1" applyAlignment="1">
      <alignment horizontal="center" vertical="center" wrapText="1" readingOrder="1"/>
    </xf>
    <xf numFmtId="0" fontId="8" fillId="8" borderId="18" xfId="0" applyFont="1" applyFill="1" applyBorder="1" applyAlignment="1">
      <alignment horizontal="center" vertical="center" wrapText="1" readingOrder="1"/>
    </xf>
    <xf numFmtId="0" fontId="6" fillId="5" borderId="18" xfId="0" applyFont="1" applyFill="1" applyBorder="1" applyAlignment="1">
      <alignment horizontal="center" vertical="center" wrapText="1" readingOrder="1"/>
    </xf>
    <xf numFmtId="0" fontId="40" fillId="0" borderId="18" xfId="0" applyFont="1" applyBorder="1" applyAlignment="1" applyProtection="1">
      <alignment horizontal="center" vertical="center"/>
      <protection locked="0"/>
    </xf>
    <xf numFmtId="0" fontId="40" fillId="0" borderId="18" xfId="0" applyFont="1" applyBorder="1" applyAlignment="1" applyProtection="1">
      <alignment horizontal="center" vertical="center" wrapText="1"/>
      <protection locked="0"/>
    </xf>
    <xf numFmtId="14" fontId="40" fillId="0" borderId="18" xfId="0" applyNumberFormat="1" applyFont="1" applyBorder="1" applyAlignment="1" applyProtection="1">
      <alignment horizontal="center" vertical="center"/>
      <protection locked="0"/>
    </xf>
    <xf numFmtId="0" fontId="40" fillId="0" borderId="18" xfId="0" applyFont="1" applyBorder="1" applyAlignment="1">
      <alignment horizontal="center" vertical="center"/>
    </xf>
    <xf numFmtId="0" fontId="41" fillId="0" borderId="18" xfId="0" applyFont="1" applyBorder="1" applyAlignment="1" applyProtection="1">
      <alignment horizontal="center" vertical="center" wrapText="1"/>
      <protection locked="0"/>
    </xf>
    <xf numFmtId="0" fontId="40" fillId="0" borderId="18" xfId="0" applyFont="1" applyBorder="1" applyAlignment="1" applyProtection="1">
      <alignment horizontal="center" vertical="center"/>
      <protection hidden="1"/>
    </xf>
    <xf numFmtId="0" fontId="40" fillId="0" borderId="18" xfId="0" applyFont="1" applyBorder="1" applyAlignment="1" applyProtection="1">
      <alignment horizontal="center" vertical="center" textRotation="90"/>
      <protection locked="0"/>
    </xf>
    <xf numFmtId="9" fontId="40" fillId="0" borderId="18" xfId="0" applyNumberFormat="1" applyFont="1" applyBorder="1" applyAlignment="1" applyProtection="1">
      <alignment horizontal="center" vertical="center"/>
      <protection hidden="1"/>
    </xf>
    <xf numFmtId="164" fontId="40" fillId="0" borderId="18" xfId="1" applyNumberFormat="1" applyFont="1" applyBorder="1" applyAlignment="1">
      <alignment horizontal="center" vertical="center"/>
    </xf>
    <xf numFmtId="0" fontId="31" fillId="0" borderId="18" xfId="0" applyFont="1" applyBorder="1" applyAlignment="1" applyProtection="1">
      <alignment horizontal="center" vertical="center" textRotation="90" wrapText="1"/>
      <protection hidden="1"/>
    </xf>
    <xf numFmtId="0" fontId="31" fillId="0" borderId="18" xfId="0" applyFont="1" applyBorder="1" applyAlignment="1" applyProtection="1">
      <alignment horizontal="center" vertical="center" textRotation="90"/>
      <protection hidden="1"/>
    </xf>
    <xf numFmtId="14" fontId="40" fillId="0" borderId="18" xfId="0" applyNumberFormat="1" applyFont="1" applyBorder="1" applyAlignment="1" applyProtection="1">
      <alignment horizontal="center" vertical="center" wrapText="1"/>
      <protection locked="0"/>
    </xf>
    <xf numFmtId="0" fontId="31" fillId="0" borderId="18" xfId="0" applyFont="1" applyBorder="1" applyAlignment="1" applyProtection="1">
      <alignment horizontal="center" vertical="center" wrapText="1"/>
      <protection hidden="1"/>
    </xf>
    <xf numFmtId="9" fontId="40" fillId="0" borderId="18" xfId="0" applyNumberFormat="1" applyFont="1" applyBorder="1" applyAlignment="1" applyProtection="1">
      <alignment horizontal="center" vertical="center" wrapText="1"/>
      <protection hidden="1"/>
    </xf>
    <xf numFmtId="0" fontId="40" fillId="0" borderId="18" xfId="0" applyFont="1" applyBorder="1" applyAlignment="1">
      <alignment horizontal="center" vertical="center" wrapText="1"/>
    </xf>
    <xf numFmtId="9" fontId="40" fillId="0" borderId="18" xfId="0" applyNumberFormat="1" applyFont="1" applyBorder="1" applyAlignment="1" applyProtection="1">
      <alignment horizontal="center" vertical="center" wrapText="1"/>
      <protection locked="0"/>
    </xf>
    <xf numFmtId="0" fontId="31" fillId="0" borderId="18" xfId="0" applyFont="1" applyBorder="1" applyAlignment="1" applyProtection="1">
      <alignment horizontal="center" vertical="center"/>
      <protection hidden="1"/>
    </xf>
    <xf numFmtId="0" fontId="62" fillId="0" borderId="0" xfId="4" applyFont="1" applyAlignment="1">
      <alignment vertical="center" wrapText="1"/>
    </xf>
    <xf numFmtId="0" fontId="59" fillId="0" borderId="18" xfId="4" applyFont="1" applyBorder="1" applyAlignment="1" applyProtection="1">
      <alignment horizontal="center" vertical="center" wrapText="1"/>
      <protection locked="0"/>
    </xf>
    <xf numFmtId="0" fontId="1" fillId="0" borderId="18" xfId="0" applyFont="1" applyBorder="1" applyAlignment="1">
      <alignment horizontal="center" vertical="center"/>
    </xf>
    <xf numFmtId="0" fontId="40" fillId="0" borderId="18" xfId="0" applyFont="1" applyBorder="1" applyAlignment="1" applyProtection="1">
      <alignment horizontal="left" vertical="center" wrapText="1"/>
      <protection locked="0"/>
    </xf>
    <xf numFmtId="0" fontId="52" fillId="0" borderId="0" xfId="0" applyFont="1" applyAlignment="1">
      <alignment horizontal="center" vertical="center"/>
    </xf>
    <xf numFmtId="0" fontId="1" fillId="2" borderId="18" xfId="0" applyFont="1" applyFill="1" applyBorder="1" applyAlignment="1">
      <alignment vertical="center"/>
    </xf>
    <xf numFmtId="0" fontId="1" fillId="2" borderId="18" xfId="0" applyFont="1" applyFill="1" applyBorder="1"/>
    <xf numFmtId="0" fontId="1" fillId="2" borderId="18" xfId="0" applyFont="1" applyFill="1" applyBorder="1" applyAlignment="1">
      <alignment horizontal="left" vertical="center" wrapText="1"/>
    </xf>
    <xf numFmtId="0" fontId="63" fillId="2" borderId="18" xfId="5" applyFill="1" applyBorder="1" applyAlignment="1">
      <alignment vertical="center" wrapText="1"/>
    </xf>
    <xf numFmtId="0" fontId="1" fillId="2" borderId="18" xfId="0" applyFont="1" applyFill="1" applyBorder="1" applyAlignment="1">
      <alignment vertical="center" wrapText="1"/>
    </xf>
    <xf numFmtId="0" fontId="34" fillId="13" borderId="18" xfId="0" applyFont="1" applyFill="1" applyBorder="1" applyAlignment="1">
      <alignment horizontal="center" vertical="center"/>
    </xf>
    <xf numFmtId="0" fontId="34" fillId="13" borderId="18" xfId="0" applyFont="1" applyFill="1" applyBorder="1" applyAlignment="1">
      <alignment horizontal="center" vertical="center" wrapText="1"/>
    </xf>
    <xf numFmtId="0" fontId="1" fillId="2" borderId="18" xfId="0" applyFont="1" applyFill="1" applyBorder="1" applyAlignment="1">
      <alignment wrapText="1"/>
    </xf>
    <xf numFmtId="0" fontId="31" fillId="12" borderId="18" xfId="0" applyFont="1" applyFill="1" applyBorder="1" applyAlignment="1" applyProtection="1">
      <alignment horizontal="center" vertical="center" wrapText="1"/>
      <protection hidden="1"/>
    </xf>
    <xf numFmtId="9" fontId="40" fillId="12" borderId="18" xfId="0" applyNumberFormat="1" applyFont="1" applyFill="1" applyBorder="1" applyAlignment="1" applyProtection="1">
      <alignment horizontal="center" vertical="center" wrapText="1"/>
      <protection hidden="1"/>
    </xf>
    <xf numFmtId="0" fontId="31" fillId="12" borderId="18" xfId="0" applyFont="1" applyFill="1" applyBorder="1" applyAlignment="1" applyProtection="1">
      <alignment horizontal="center" vertical="center"/>
      <protection hidden="1"/>
    </xf>
    <xf numFmtId="164" fontId="40" fillId="12" borderId="18" xfId="1" applyNumberFormat="1" applyFont="1" applyFill="1" applyBorder="1" applyAlignment="1">
      <alignment horizontal="center" vertical="center"/>
    </xf>
    <xf numFmtId="0" fontId="31" fillId="12" borderId="18" xfId="0" applyFont="1" applyFill="1" applyBorder="1" applyAlignment="1" applyProtection="1">
      <alignment horizontal="center" vertical="center" textRotation="90" wrapText="1"/>
      <protection hidden="1"/>
    </xf>
    <xf numFmtId="0" fontId="31" fillId="12" borderId="18" xfId="0" applyFont="1" applyFill="1" applyBorder="1" applyAlignment="1" applyProtection="1">
      <alignment horizontal="center" vertical="center" textRotation="90"/>
      <protection hidden="1"/>
    </xf>
    <xf numFmtId="0" fontId="31" fillId="14" borderId="18" xfId="0" applyFont="1" applyFill="1" applyBorder="1" applyAlignment="1" applyProtection="1">
      <alignment horizontal="center" vertical="center" wrapText="1"/>
      <protection hidden="1"/>
    </xf>
    <xf numFmtId="0" fontId="31" fillId="14" borderId="18" xfId="0" applyFont="1" applyFill="1" applyBorder="1" applyAlignment="1" applyProtection="1">
      <alignment horizontal="center" vertical="center"/>
      <protection hidden="1"/>
    </xf>
    <xf numFmtId="164" fontId="40" fillId="14" borderId="18" xfId="1" applyNumberFormat="1" applyFont="1" applyFill="1" applyBorder="1" applyAlignment="1">
      <alignment horizontal="center" vertical="center"/>
    </xf>
    <xf numFmtId="0" fontId="31" fillId="14" borderId="18" xfId="0" applyFont="1" applyFill="1" applyBorder="1" applyAlignment="1" applyProtection="1">
      <alignment horizontal="center" vertical="center" textRotation="90" wrapText="1"/>
      <protection hidden="1"/>
    </xf>
    <xf numFmtId="0" fontId="31" fillId="14" borderId="18" xfId="0" applyFont="1" applyFill="1" applyBorder="1" applyAlignment="1" applyProtection="1">
      <alignment horizontal="center" vertical="center" textRotation="90"/>
      <protection hidden="1"/>
    </xf>
    <xf numFmtId="0" fontId="31" fillId="4" borderId="18" xfId="0" applyFont="1" applyFill="1" applyBorder="1" applyAlignment="1" applyProtection="1">
      <alignment horizontal="center" vertical="center" wrapText="1"/>
      <protection hidden="1"/>
    </xf>
    <xf numFmtId="0" fontId="31" fillId="4" borderId="18" xfId="0" applyFont="1" applyFill="1" applyBorder="1" applyAlignment="1" applyProtection="1">
      <alignment horizontal="center" vertical="center"/>
      <protection hidden="1"/>
    </xf>
    <xf numFmtId="164" fontId="40" fillId="4" borderId="18" xfId="1" applyNumberFormat="1" applyFont="1" applyFill="1" applyBorder="1" applyAlignment="1">
      <alignment horizontal="center" vertical="center"/>
    </xf>
    <xf numFmtId="0" fontId="31" fillId="4" borderId="18" xfId="0" applyFont="1" applyFill="1" applyBorder="1" applyAlignment="1" applyProtection="1">
      <alignment horizontal="center" vertical="center" textRotation="90" wrapText="1"/>
      <protection hidden="1"/>
    </xf>
    <xf numFmtId="0" fontId="31" fillId="4" borderId="18" xfId="0" applyFont="1" applyFill="1" applyBorder="1" applyAlignment="1" applyProtection="1">
      <alignment horizontal="center" vertical="center" textRotation="90"/>
      <protection hidden="1"/>
    </xf>
    <xf numFmtId="0" fontId="1" fillId="2" borderId="18" xfId="0" applyFont="1" applyFill="1" applyBorder="1" applyAlignment="1">
      <alignment horizontal="center" vertical="center" wrapText="1"/>
    </xf>
    <xf numFmtId="0" fontId="63" fillId="2" borderId="18" xfId="5" applyFill="1" applyBorder="1" applyAlignment="1">
      <alignment horizontal="center" vertical="center" wrapText="1"/>
    </xf>
    <xf numFmtId="0" fontId="63" fillId="0" borderId="18" xfId="5" applyFill="1" applyBorder="1" applyAlignment="1">
      <alignment wrapText="1"/>
    </xf>
    <xf numFmtId="0" fontId="65" fillId="2" borderId="18" xfId="5" applyFont="1" applyFill="1" applyBorder="1" applyAlignment="1">
      <alignment horizontal="left" vertical="center" wrapText="1"/>
    </xf>
    <xf numFmtId="0" fontId="66" fillId="2" borderId="18" xfId="5" applyFont="1" applyFill="1" applyBorder="1" applyAlignment="1">
      <alignment horizontal="left" vertical="center" wrapText="1"/>
    </xf>
    <xf numFmtId="0" fontId="64" fillId="2" borderId="18" xfId="5" applyFont="1" applyFill="1" applyBorder="1" applyAlignment="1">
      <alignment horizontal="left" vertical="center" wrapText="1"/>
    </xf>
    <xf numFmtId="0" fontId="1" fillId="2" borderId="18" xfId="0" applyFont="1" applyFill="1" applyBorder="1" applyAlignment="1">
      <alignment horizontal="left"/>
    </xf>
    <xf numFmtId="0" fontId="1" fillId="2" borderId="18" xfId="0" applyFont="1" applyFill="1" applyBorder="1" applyAlignment="1">
      <alignment horizontal="center"/>
    </xf>
    <xf numFmtId="164" fontId="40" fillId="0" borderId="18" xfId="1" applyNumberFormat="1" applyFont="1" applyFill="1" applyBorder="1" applyAlignment="1">
      <alignment horizontal="center" vertical="center"/>
    </xf>
    <xf numFmtId="0" fontId="1" fillId="0" borderId="18" xfId="0" applyFont="1" applyBorder="1" applyAlignment="1">
      <alignment wrapText="1"/>
    </xf>
    <xf numFmtId="0" fontId="1" fillId="0" borderId="18" xfId="0" applyFont="1" applyBorder="1"/>
    <xf numFmtId="0" fontId="1" fillId="0" borderId="18" xfId="0" applyFont="1" applyBorder="1" applyAlignment="1">
      <alignment horizontal="justify" vertical="center"/>
    </xf>
    <xf numFmtId="0" fontId="63" fillId="0" borderId="18" xfId="5" applyBorder="1" applyAlignment="1">
      <alignment horizontal="justify" vertical="center"/>
    </xf>
    <xf numFmtId="0" fontId="35" fillId="0" borderId="18" xfId="5" applyFont="1" applyBorder="1" applyAlignment="1">
      <alignment horizontal="justify" vertical="center"/>
    </xf>
    <xf numFmtId="0" fontId="67" fillId="0" borderId="18" xfId="5" applyFont="1" applyFill="1" applyBorder="1" applyAlignment="1">
      <alignment horizontal="left" vertical="center" wrapText="1"/>
    </xf>
    <xf numFmtId="0" fontId="1" fillId="0" borderId="18" xfId="0" applyFont="1" applyBorder="1" applyAlignment="1">
      <alignment horizontal="left" vertical="center" wrapText="1"/>
    </xf>
    <xf numFmtId="0" fontId="63" fillId="0" borderId="18" xfId="5" applyFill="1" applyBorder="1" applyAlignment="1">
      <alignment horizontal="left" vertical="center" wrapText="1"/>
    </xf>
    <xf numFmtId="0" fontId="43" fillId="13" borderId="33" xfId="2" applyFont="1" applyFill="1" applyBorder="1" applyAlignment="1">
      <alignment horizontal="center" vertical="center" wrapText="1"/>
    </xf>
    <xf numFmtId="0" fontId="43" fillId="13" borderId="34" xfId="2" applyFont="1" applyFill="1" applyBorder="1" applyAlignment="1">
      <alignment horizontal="center" vertical="center" wrapText="1"/>
    </xf>
    <xf numFmtId="0" fontId="43" fillId="13" borderId="35" xfId="2" applyFont="1" applyFill="1" applyBorder="1" applyAlignment="1">
      <alignment horizontal="center" vertical="center" wrapText="1"/>
    </xf>
    <xf numFmtId="0" fontId="26" fillId="0" borderId="4" xfId="2" quotePrefix="1" applyBorder="1" applyAlignment="1">
      <alignment horizontal="justify" vertical="center" wrapText="1"/>
    </xf>
    <xf numFmtId="0" fontId="26" fillId="0" borderId="0" xfId="2" quotePrefix="1" applyAlignment="1">
      <alignment horizontal="justify" vertical="center" wrapText="1"/>
    </xf>
    <xf numFmtId="0" fontId="26" fillId="0" borderId="5" xfId="2" quotePrefix="1" applyBorder="1" applyAlignment="1">
      <alignment horizontal="justify" vertical="center" wrapText="1"/>
    </xf>
    <xf numFmtId="0" fontId="26" fillId="0" borderId="53" xfId="2" quotePrefix="1" applyBorder="1" applyAlignment="1">
      <alignment horizontal="justify" vertical="center" wrapText="1"/>
    </xf>
    <xf numFmtId="0" fontId="26" fillId="0" borderId="54" xfId="2" quotePrefix="1" applyBorder="1" applyAlignment="1">
      <alignment horizontal="justify" vertical="center" wrapText="1"/>
    </xf>
    <xf numFmtId="0" fontId="26" fillId="0" borderId="55" xfId="2" quotePrefix="1" applyBorder="1" applyAlignment="1">
      <alignment horizontal="justify" vertical="center" wrapText="1"/>
    </xf>
    <xf numFmtId="0" fontId="45" fillId="2" borderId="36" xfId="2" quotePrefix="1" applyFont="1" applyFill="1" applyBorder="1" applyAlignment="1">
      <alignment horizontal="left" vertical="top" wrapText="1"/>
    </xf>
    <xf numFmtId="0" fontId="46" fillId="2" borderId="37" xfId="2" quotePrefix="1" applyFont="1" applyFill="1" applyBorder="1" applyAlignment="1">
      <alignment horizontal="left" vertical="top" wrapText="1"/>
    </xf>
    <xf numFmtId="0" fontId="46" fillId="2" borderId="38" xfId="2" quotePrefix="1" applyFont="1" applyFill="1" applyBorder="1" applyAlignment="1">
      <alignment horizontal="left" vertical="top" wrapText="1"/>
    </xf>
    <xf numFmtId="0" fontId="47" fillId="13" borderId="39" xfId="3" applyFont="1" applyFill="1" applyBorder="1" applyAlignment="1">
      <alignment horizontal="center" vertical="center" wrapText="1"/>
    </xf>
    <xf numFmtId="0" fontId="47" fillId="13" borderId="40" xfId="3" applyFont="1" applyFill="1" applyBorder="1" applyAlignment="1">
      <alignment horizontal="center" vertical="center" wrapText="1"/>
    </xf>
    <xf numFmtId="0" fontId="47" fillId="13" borderId="41" xfId="2" applyFont="1" applyFill="1" applyBorder="1" applyAlignment="1">
      <alignment horizontal="center" vertical="center"/>
    </xf>
    <xf numFmtId="0" fontId="47" fillId="13" borderId="42" xfId="2" applyFont="1" applyFill="1" applyBorder="1" applyAlignment="1">
      <alignment horizontal="center" vertical="center"/>
    </xf>
    <xf numFmtId="0" fontId="35" fillId="2" borderId="53" xfId="2" quotePrefix="1" applyFont="1" applyFill="1" applyBorder="1" applyAlignment="1">
      <alignment horizontal="justify" vertical="center" wrapText="1"/>
    </xf>
    <xf numFmtId="0" fontId="35" fillId="2" borderId="54" xfId="2" quotePrefix="1" applyFont="1" applyFill="1" applyBorder="1" applyAlignment="1">
      <alignment horizontal="justify" vertical="center" wrapText="1"/>
    </xf>
    <xf numFmtId="0" fontId="35" fillId="2" borderId="55" xfId="2" quotePrefix="1" applyFont="1" applyFill="1" applyBorder="1" applyAlignment="1">
      <alignment horizontal="justify" vertical="center" wrapText="1"/>
    </xf>
    <xf numFmtId="0" fontId="47" fillId="2" borderId="43" xfId="3" applyFont="1" applyFill="1" applyBorder="1" applyAlignment="1">
      <alignment horizontal="left" vertical="top" wrapText="1" readingOrder="1"/>
    </xf>
    <xf numFmtId="0" fontId="47" fillId="2" borderId="44" xfId="3" applyFont="1" applyFill="1" applyBorder="1" applyAlignment="1">
      <alignment horizontal="left" vertical="top" wrapText="1" readingOrder="1"/>
    </xf>
    <xf numFmtId="0" fontId="48" fillId="2" borderId="45" xfId="2" applyFont="1" applyFill="1" applyBorder="1" applyAlignment="1">
      <alignment horizontal="justify" vertical="center" wrapText="1"/>
    </xf>
    <xf numFmtId="0" fontId="48" fillId="2" borderId="46" xfId="2" applyFont="1" applyFill="1" applyBorder="1" applyAlignment="1">
      <alignment horizontal="justify" vertical="center" wrapText="1"/>
    </xf>
    <xf numFmtId="0" fontId="47" fillId="2" borderId="47" xfId="0" applyFont="1" applyFill="1" applyBorder="1" applyAlignment="1">
      <alignment horizontal="left" vertical="center" wrapText="1"/>
    </xf>
    <xf numFmtId="0" fontId="47" fillId="2" borderId="48" xfId="0" applyFont="1" applyFill="1" applyBorder="1" applyAlignment="1">
      <alignment horizontal="left" vertical="center" wrapText="1"/>
    </xf>
    <xf numFmtId="0" fontId="48" fillId="2" borderId="49" xfId="2" applyFont="1" applyFill="1" applyBorder="1" applyAlignment="1">
      <alignment horizontal="justify" vertical="center" wrapText="1"/>
    </xf>
    <xf numFmtId="0" fontId="48" fillId="2" borderId="50" xfId="2" applyFont="1" applyFill="1" applyBorder="1" applyAlignment="1">
      <alignment horizontal="justify" vertical="center" wrapText="1"/>
    </xf>
    <xf numFmtId="0" fontId="26" fillId="2" borderId="4" xfId="2" applyFill="1" applyBorder="1" applyAlignment="1">
      <alignment horizontal="left" vertical="top" wrapText="1"/>
    </xf>
    <xf numFmtId="0" fontId="26" fillId="2" borderId="0" xfId="2" applyFill="1" applyAlignment="1">
      <alignment horizontal="left" vertical="top" wrapText="1"/>
    </xf>
    <xf numFmtId="0" fontId="26" fillId="2" borderId="5" xfId="2" applyFill="1" applyBorder="1" applyAlignment="1">
      <alignment horizontal="left" vertical="top" wrapText="1"/>
    </xf>
    <xf numFmtId="0" fontId="47" fillId="2" borderId="56" xfId="0" applyFont="1" applyFill="1" applyBorder="1" applyAlignment="1">
      <alignment horizontal="left" vertical="center" wrapText="1"/>
    </xf>
    <xf numFmtId="0" fontId="47" fillId="2" borderId="57" xfId="0" applyFont="1" applyFill="1" applyBorder="1" applyAlignment="1">
      <alignment horizontal="left" vertical="center" wrapText="1"/>
    </xf>
    <xf numFmtId="0" fontId="47" fillId="2" borderId="58" xfId="0" applyFont="1" applyFill="1" applyBorder="1" applyAlignment="1">
      <alignment horizontal="left" vertical="center" wrapText="1"/>
    </xf>
    <xf numFmtId="0" fontId="47" fillId="2" borderId="59" xfId="0" applyFont="1" applyFill="1" applyBorder="1" applyAlignment="1">
      <alignment horizontal="left" vertical="center" wrapText="1"/>
    </xf>
    <xf numFmtId="0" fontId="48" fillId="2" borderId="51" xfId="0" applyFont="1" applyFill="1" applyBorder="1" applyAlignment="1">
      <alignment horizontal="justify" vertical="center" wrapText="1"/>
    </xf>
    <xf numFmtId="0" fontId="48" fillId="2" borderId="52" xfId="0" applyFont="1" applyFill="1" applyBorder="1" applyAlignment="1">
      <alignment horizontal="justify" vertical="center" wrapText="1"/>
    </xf>
    <xf numFmtId="0" fontId="34" fillId="13" borderId="18" xfId="0" applyFont="1" applyFill="1" applyBorder="1" applyAlignment="1">
      <alignment horizontal="center" vertical="center"/>
    </xf>
    <xf numFmtId="0" fontId="34" fillId="0" borderId="18" xfId="0" applyFont="1" applyBorder="1" applyAlignment="1">
      <alignment horizontal="center" vertical="center"/>
    </xf>
    <xf numFmtId="0" fontId="34" fillId="13" borderId="18" xfId="0" applyFont="1" applyFill="1" applyBorder="1" applyAlignment="1">
      <alignment horizontal="center" vertical="center" wrapText="1"/>
    </xf>
    <xf numFmtId="0" fontId="40" fillId="0" borderId="18" xfId="0" applyFont="1" applyBorder="1" applyAlignment="1">
      <alignment horizontal="center" vertical="center"/>
    </xf>
    <xf numFmtId="0" fontId="38" fillId="0" borderId="0" xfId="0" applyFont="1" applyAlignment="1">
      <alignment horizontal="center" vertical="center"/>
    </xf>
    <xf numFmtId="0" fontId="52" fillId="0" borderId="0" xfId="0" applyFont="1" applyAlignment="1">
      <alignment horizontal="center" vertical="center"/>
    </xf>
    <xf numFmtId="0" fontId="34" fillId="13" borderId="18" xfId="0" applyFont="1" applyFill="1" applyBorder="1" applyAlignment="1">
      <alignment horizontal="center" vertical="center" textRotation="90"/>
    </xf>
    <xf numFmtId="0" fontId="41" fillId="0" borderId="18" xfId="0" applyFont="1" applyBorder="1" applyAlignment="1" applyProtection="1">
      <alignment horizontal="center" vertical="center" wrapText="1"/>
      <protection locked="0"/>
    </xf>
    <xf numFmtId="0" fontId="34" fillId="13" borderId="18" xfId="0" applyFont="1" applyFill="1" applyBorder="1" applyAlignment="1">
      <alignment horizontal="center" vertical="center" textRotation="90" wrapText="1"/>
    </xf>
    <xf numFmtId="0" fontId="31" fillId="0" borderId="63" xfId="0" applyFont="1" applyBorder="1" applyAlignment="1">
      <alignment horizontal="left" vertical="center"/>
    </xf>
    <xf numFmtId="0" fontId="31" fillId="0" borderId="64" xfId="0" applyFont="1" applyBorder="1" applyAlignment="1">
      <alignment horizontal="left" vertical="center"/>
    </xf>
    <xf numFmtId="0" fontId="37" fillId="0" borderId="66"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67" xfId="0" applyFont="1" applyBorder="1" applyAlignment="1">
      <alignment horizontal="center" vertical="center" wrapText="1"/>
    </xf>
    <xf numFmtId="0" fontId="37" fillId="0" borderId="60" xfId="0" applyFont="1" applyBorder="1" applyAlignment="1">
      <alignment horizontal="center" vertical="center" wrapText="1"/>
    </xf>
    <xf numFmtId="0" fontId="37" fillId="0" borderId="0" xfId="0" applyFont="1" applyAlignment="1">
      <alignment horizontal="center" vertical="center" wrapText="1"/>
    </xf>
    <xf numFmtId="0" fontId="37" fillId="0" borderId="61" xfId="0" applyFont="1" applyBorder="1" applyAlignment="1">
      <alignment horizontal="center" vertical="center" wrapText="1"/>
    </xf>
    <xf numFmtId="0" fontId="37" fillId="0" borderId="68" xfId="0" applyFont="1" applyBorder="1" applyAlignment="1">
      <alignment horizontal="center" vertical="center" wrapText="1"/>
    </xf>
    <xf numFmtId="0" fontId="37" fillId="0" borderId="54" xfId="0" applyFont="1" applyBorder="1" applyAlignment="1">
      <alignment horizontal="center" vertical="center" wrapText="1"/>
    </xf>
    <xf numFmtId="0" fontId="37" fillId="0" borderId="69" xfId="0" applyFont="1" applyBorder="1" applyAlignment="1">
      <alignment horizontal="center" vertical="center" wrapText="1"/>
    </xf>
    <xf numFmtId="0" fontId="31" fillId="0" borderId="65" xfId="0" applyFont="1" applyBorder="1" applyAlignment="1">
      <alignment horizontal="left" vertical="center"/>
    </xf>
    <xf numFmtId="0" fontId="37" fillId="0" borderId="37" xfId="0" applyFont="1" applyBorder="1" applyAlignment="1">
      <alignment horizontal="center" vertical="center"/>
    </xf>
    <xf numFmtId="0" fontId="37" fillId="0" borderId="67" xfId="0" applyFont="1" applyBorder="1" applyAlignment="1">
      <alignment horizontal="center" vertical="center"/>
    </xf>
    <xf numFmtId="0" fontId="37" fillId="0" borderId="60" xfId="0" applyFont="1" applyBorder="1" applyAlignment="1">
      <alignment horizontal="center" vertical="center"/>
    </xf>
    <xf numFmtId="0" fontId="37" fillId="0" borderId="0" xfId="0" applyFont="1" applyAlignment="1">
      <alignment horizontal="center" vertical="center"/>
    </xf>
    <xf numFmtId="0" fontId="37" fillId="0" borderId="61" xfId="0" applyFont="1" applyBorder="1" applyAlignment="1">
      <alignment horizontal="center" vertical="center"/>
    </xf>
    <xf numFmtId="0" fontId="37" fillId="0" borderId="68" xfId="0" applyFont="1" applyBorder="1" applyAlignment="1">
      <alignment horizontal="center" vertical="center"/>
    </xf>
    <xf numFmtId="0" fontId="37" fillId="0" borderId="54" xfId="0" applyFont="1" applyBorder="1" applyAlignment="1">
      <alignment horizontal="center" vertical="center"/>
    </xf>
    <xf numFmtId="0" fontId="37" fillId="0" borderId="69" xfId="0" applyFont="1" applyBorder="1" applyAlignment="1">
      <alignment horizontal="center" vertical="center"/>
    </xf>
    <xf numFmtId="0" fontId="61" fillId="2" borderId="18" xfId="0" applyFont="1" applyFill="1" applyBorder="1" applyAlignment="1" applyProtection="1">
      <alignment horizontal="left" vertical="center"/>
      <protection locked="0"/>
    </xf>
    <xf numFmtId="0" fontId="1" fillId="2" borderId="0" xfId="0" applyFont="1" applyFill="1" applyAlignment="1">
      <alignment horizontal="left" vertical="center"/>
    </xf>
    <xf numFmtId="0" fontId="32" fillId="13" borderId="18" xfId="0" applyFont="1" applyFill="1" applyBorder="1" applyAlignment="1">
      <alignment horizontal="left" vertical="center"/>
    </xf>
    <xf numFmtId="0" fontId="32" fillId="13" borderId="62" xfId="0" applyFont="1" applyFill="1" applyBorder="1" applyAlignment="1">
      <alignment horizontal="left" vertical="center"/>
    </xf>
    <xf numFmtId="0" fontId="33" fillId="2" borderId="18" xfId="0" applyFont="1" applyFill="1" applyBorder="1" applyAlignment="1" applyProtection="1">
      <alignment horizontal="left" vertical="center" wrapText="1"/>
      <protection locked="0"/>
    </xf>
    <xf numFmtId="0" fontId="33" fillId="2" borderId="62" xfId="0" applyFont="1" applyFill="1" applyBorder="1" applyAlignment="1" applyProtection="1">
      <alignment horizontal="left" vertical="center" wrapText="1"/>
      <protection locked="0"/>
    </xf>
    <xf numFmtId="0" fontId="20" fillId="0" borderId="0" xfId="0" applyFont="1" applyAlignment="1">
      <alignment horizontal="center" vertical="center" wrapText="1"/>
    </xf>
    <xf numFmtId="0" fontId="15" fillId="4" borderId="4" xfId="0" applyFont="1" applyFill="1" applyBorder="1" applyAlignment="1" applyProtection="1">
      <alignment horizontal="center" wrapText="1" readingOrder="1"/>
      <protection hidden="1"/>
    </xf>
    <xf numFmtId="0" fontId="15" fillId="4" borderId="0" xfId="0" applyFont="1" applyFill="1" applyAlignment="1" applyProtection="1">
      <alignment horizontal="center" wrapText="1" readingOrder="1"/>
      <protection hidden="1"/>
    </xf>
    <xf numFmtId="0" fontId="15" fillId="4" borderId="5" xfId="0" applyFont="1" applyFill="1" applyBorder="1" applyAlignment="1" applyProtection="1">
      <alignment horizontal="center" wrapText="1" readingOrder="1"/>
      <protection hidden="1"/>
    </xf>
    <xf numFmtId="0" fontId="15" fillId="4" borderId="6" xfId="0" applyFont="1" applyFill="1" applyBorder="1" applyAlignment="1" applyProtection="1">
      <alignment horizontal="center" wrapText="1" readingOrder="1"/>
      <protection hidden="1"/>
    </xf>
    <xf numFmtId="0" fontId="15" fillId="4" borderId="8" xfId="0" applyFont="1" applyFill="1" applyBorder="1" applyAlignment="1" applyProtection="1">
      <alignment horizontal="center" wrapText="1" readingOrder="1"/>
      <protection hidden="1"/>
    </xf>
    <xf numFmtId="0" fontId="15" fillId="4" borderId="7" xfId="0" applyFont="1" applyFill="1" applyBorder="1" applyAlignment="1" applyProtection="1">
      <alignment horizontal="center" wrapText="1" readingOrder="1"/>
      <protection hidden="1"/>
    </xf>
    <xf numFmtId="0" fontId="15" fillId="4" borderId="2" xfId="0" applyFont="1" applyFill="1" applyBorder="1" applyAlignment="1" applyProtection="1">
      <alignment horizontal="center" wrapText="1" readingOrder="1"/>
      <protection hidden="1"/>
    </xf>
    <xf numFmtId="0" fontId="15" fillId="4" borderId="9" xfId="0" applyFont="1" applyFill="1" applyBorder="1" applyAlignment="1" applyProtection="1">
      <alignment horizontal="center" wrapText="1" readingOrder="1"/>
      <protection hidden="1"/>
    </xf>
    <xf numFmtId="0" fontId="15" fillId="4" borderId="3" xfId="0" applyFont="1" applyFill="1" applyBorder="1" applyAlignment="1" applyProtection="1">
      <alignment horizontal="center" wrapText="1" readingOrder="1"/>
      <protection hidden="1"/>
    </xf>
    <xf numFmtId="0" fontId="15" fillId="12" borderId="4" xfId="0" applyFont="1" applyFill="1" applyBorder="1" applyAlignment="1" applyProtection="1">
      <alignment horizontal="center" wrapText="1" readingOrder="1"/>
      <protection hidden="1"/>
    </xf>
    <xf numFmtId="0" fontId="15" fillId="12" borderId="0" xfId="0" applyFont="1" applyFill="1" applyAlignment="1" applyProtection="1">
      <alignment horizontal="center" wrapText="1" readingOrder="1"/>
      <protection hidden="1"/>
    </xf>
    <xf numFmtId="0" fontId="15" fillId="12" borderId="5" xfId="0" applyFont="1" applyFill="1" applyBorder="1" applyAlignment="1" applyProtection="1">
      <alignment horizontal="center" wrapText="1" readingOrder="1"/>
      <protection hidden="1"/>
    </xf>
    <xf numFmtId="0" fontId="15" fillId="12" borderId="6" xfId="0" applyFont="1" applyFill="1" applyBorder="1" applyAlignment="1" applyProtection="1">
      <alignment horizontal="center" wrapText="1" readingOrder="1"/>
      <protection hidden="1"/>
    </xf>
    <xf numFmtId="0" fontId="15" fillId="12" borderId="8" xfId="0" applyFont="1" applyFill="1" applyBorder="1" applyAlignment="1" applyProtection="1">
      <alignment horizontal="center" wrapText="1" readingOrder="1"/>
      <protection hidden="1"/>
    </xf>
    <xf numFmtId="0" fontId="15" fillId="12" borderId="7" xfId="0" applyFont="1" applyFill="1" applyBorder="1" applyAlignment="1" applyProtection="1">
      <alignment horizontal="center" wrapText="1" readingOrder="1"/>
      <protection hidden="1"/>
    </xf>
    <xf numFmtId="0" fontId="15" fillId="12" borderId="2" xfId="0" applyFont="1" applyFill="1" applyBorder="1" applyAlignment="1" applyProtection="1">
      <alignment horizontal="center" wrapText="1" readingOrder="1"/>
      <protection hidden="1"/>
    </xf>
    <xf numFmtId="0" fontId="15" fillId="12" borderId="9" xfId="0" applyFont="1" applyFill="1" applyBorder="1" applyAlignment="1" applyProtection="1">
      <alignment horizontal="center" wrapText="1" readingOrder="1"/>
      <protection hidden="1"/>
    </xf>
    <xf numFmtId="0" fontId="15" fillId="12"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0" borderId="4" xfId="0" applyFont="1" applyFill="1" applyBorder="1" applyAlignment="1" applyProtection="1">
      <alignment horizontal="center" vertical="center" wrapText="1" readingOrder="1"/>
      <protection hidden="1"/>
    </xf>
    <xf numFmtId="0" fontId="15" fillId="10" borderId="0" xfId="0" applyFont="1" applyFill="1" applyAlignment="1" applyProtection="1">
      <alignment horizontal="center" vertical="center" wrapText="1" readingOrder="1"/>
      <protection hidden="1"/>
    </xf>
    <xf numFmtId="0" fontId="15" fillId="10" borderId="5"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vertical="center" wrapText="1" readingOrder="1"/>
      <protection hidden="1"/>
    </xf>
    <xf numFmtId="0" fontId="15" fillId="10" borderId="8" xfId="0" applyFont="1" applyFill="1" applyBorder="1" applyAlignment="1" applyProtection="1">
      <alignment horizontal="center" vertical="center" wrapText="1" readingOrder="1"/>
      <protection hidden="1"/>
    </xf>
    <xf numFmtId="0" fontId="15" fillId="10" borderId="7"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vertical="center" wrapText="1" readingOrder="1"/>
      <protection hidden="1"/>
    </xf>
    <xf numFmtId="0" fontId="15" fillId="10" borderId="9" xfId="0" applyFont="1" applyFill="1" applyBorder="1" applyAlignment="1" applyProtection="1">
      <alignment horizontal="center" vertical="center" wrapText="1" readingOrder="1"/>
      <protection hidden="1"/>
    </xf>
    <xf numFmtId="0" fontId="15" fillId="10" borderId="3" xfId="0" applyFont="1" applyFill="1" applyBorder="1" applyAlignment="1" applyProtection="1">
      <alignment horizontal="center" vertical="center" wrapText="1" readingOrder="1"/>
      <protection hidden="1"/>
    </xf>
    <xf numFmtId="0" fontId="13" fillId="9" borderId="0" xfId="0" applyFont="1" applyFill="1" applyAlignment="1">
      <alignment horizontal="center" vertical="center" wrapText="1" readingOrder="1"/>
    </xf>
    <xf numFmtId="0" fontId="12" fillId="0" borderId="2" xfId="0" applyFont="1" applyBorder="1" applyAlignment="1">
      <alignment horizontal="center" vertical="center" wrapText="1"/>
    </xf>
    <xf numFmtId="0" fontId="12" fillId="0" borderId="9"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wrapText="1"/>
    </xf>
    <xf numFmtId="0" fontId="13" fillId="9" borderId="0" xfId="0" applyFont="1" applyFill="1" applyAlignment="1">
      <alignment horizontal="center" vertical="center" textRotation="90" wrapText="1" readingOrder="1"/>
    </xf>
    <xf numFmtId="0" fontId="13" fillId="9" borderId="5" xfId="0" applyFont="1" applyFill="1" applyBorder="1" applyAlignment="1">
      <alignment horizontal="center" vertical="center" textRotation="90" wrapText="1" readingOrder="1"/>
    </xf>
    <xf numFmtId="0" fontId="16" fillId="11" borderId="10" xfId="0" applyFont="1" applyFill="1" applyBorder="1" applyAlignment="1">
      <alignment horizontal="center" vertical="center" wrapText="1" readingOrder="1"/>
    </xf>
    <xf numFmtId="0" fontId="16" fillId="11" borderId="11" xfId="0" applyFont="1" applyFill="1" applyBorder="1" applyAlignment="1">
      <alignment horizontal="center" vertical="center" wrapText="1" readingOrder="1"/>
    </xf>
    <xf numFmtId="0" fontId="16" fillId="11" borderId="12" xfId="0" applyFont="1" applyFill="1" applyBorder="1" applyAlignment="1">
      <alignment horizontal="center" vertical="center" wrapText="1" readingOrder="1"/>
    </xf>
    <xf numFmtId="0" fontId="16" fillId="11" borderId="13" xfId="0" applyFont="1" applyFill="1" applyBorder="1" applyAlignment="1">
      <alignment horizontal="center" vertical="center" wrapText="1" readingOrder="1"/>
    </xf>
    <xf numFmtId="0" fontId="16" fillId="11" borderId="0" xfId="0" applyFont="1" applyFill="1" applyAlignment="1">
      <alignment horizontal="center" vertical="center" wrapText="1" readingOrder="1"/>
    </xf>
    <xf numFmtId="0" fontId="16" fillId="11" borderId="14" xfId="0" applyFont="1" applyFill="1" applyBorder="1" applyAlignment="1">
      <alignment horizontal="center" vertical="center" wrapText="1" readingOrder="1"/>
    </xf>
    <xf numFmtId="0" fontId="16" fillId="11" borderId="15" xfId="0" applyFont="1" applyFill="1" applyBorder="1" applyAlignment="1">
      <alignment horizontal="center" vertical="center" wrapText="1" readingOrder="1"/>
    </xf>
    <xf numFmtId="0" fontId="16" fillId="11" borderId="16" xfId="0" applyFont="1" applyFill="1" applyBorder="1" applyAlignment="1">
      <alignment horizontal="center" vertical="center" wrapText="1" readingOrder="1"/>
    </xf>
    <xf numFmtId="0" fontId="16" fillId="11" borderId="17" xfId="0" applyFont="1" applyFill="1" applyBorder="1" applyAlignment="1">
      <alignment horizontal="center" vertical="center" wrapText="1" readingOrder="1"/>
    </xf>
    <xf numFmtId="0" fontId="16" fillId="10" borderId="10" xfId="0" applyFont="1" applyFill="1" applyBorder="1" applyAlignment="1">
      <alignment horizontal="center" vertical="center" wrapText="1" readingOrder="1"/>
    </xf>
    <xf numFmtId="0" fontId="16" fillId="10" borderId="11" xfId="0" applyFont="1" applyFill="1" applyBorder="1" applyAlignment="1">
      <alignment horizontal="center" vertical="center" wrapText="1" readingOrder="1"/>
    </xf>
    <xf numFmtId="0" fontId="16" fillId="10" borderId="12" xfId="0" applyFont="1" applyFill="1" applyBorder="1" applyAlignment="1">
      <alignment horizontal="center" vertical="center" wrapText="1" readingOrder="1"/>
    </xf>
    <xf numFmtId="0" fontId="16" fillId="10" borderId="13" xfId="0" applyFont="1" applyFill="1" applyBorder="1" applyAlignment="1">
      <alignment horizontal="center" vertical="center" wrapText="1" readingOrder="1"/>
    </xf>
    <xf numFmtId="0" fontId="16" fillId="10" borderId="0" xfId="0" applyFont="1" applyFill="1" applyAlignment="1">
      <alignment horizontal="center" vertical="center" wrapText="1" readingOrder="1"/>
    </xf>
    <xf numFmtId="0" fontId="16" fillId="10" borderId="14" xfId="0" applyFont="1" applyFill="1" applyBorder="1" applyAlignment="1">
      <alignment horizontal="center" vertical="center" wrapText="1" readingOrder="1"/>
    </xf>
    <xf numFmtId="0" fontId="16" fillId="10" borderId="15" xfId="0" applyFont="1" applyFill="1" applyBorder="1" applyAlignment="1">
      <alignment horizontal="center" vertical="center" wrapText="1" readingOrder="1"/>
    </xf>
    <xf numFmtId="0" fontId="16" fillId="10" borderId="16" xfId="0" applyFont="1" applyFill="1" applyBorder="1" applyAlignment="1">
      <alignment horizontal="center" vertical="center" wrapText="1" readingOrder="1"/>
    </xf>
    <xf numFmtId="0" fontId="16" fillId="10" borderId="17" xfId="0" applyFont="1" applyFill="1" applyBorder="1" applyAlignment="1">
      <alignment horizontal="center" vertical="center" wrapText="1" readingOrder="1"/>
    </xf>
    <xf numFmtId="0" fontId="16" fillId="12" borderId="10" xfId="0" applyFont="1" applyFill="1" applyBorder="1" applyAlignment="1">
      <alignment horizontal="center" vertical="center" wrapText="1" readingOrder="1"/>
    </xf>
    <xf numFmtId="0" fontId="16" fillId="12" borderId="11" xfId="0" applyFont="1" applyFill="1" applyBorder="1" applyAlignment="1">
      <alignment horizontal="center" vertical="center" wrapText="1" readingOrder="1"/>
    </xf>
    <xf numFmtId="0" fontId="16" fillId="12" borderId="12" xfId="0" applyFont="1" applyFill="1" applyBorder="1" applyAlignment="1">
      <alignment horizontal="center" vertical="center" wrapText="1" readingOrder="1"/>
    </xf>
    <xf numFmtId="0" fontId="16" fillId="12" borderId="13" xfId="0" applyFont="1" applyFill="1" applyBorder="1" applyAlignment="1">
      <alignment horizontal="center" vertical="center" wrapText="1" readingOrder="1"/>
    </xf>
    <xf numFmtId="0" fontId="16" fillId="12" borderId="0" xfId="0" applyFont="1" applyFill="1" applyAlignment="1">
      <alignment horizontal="center" vertical="center" wrapText="1" readingOrder="1"/>
    </xf>
    <xf numFmtId="0" fontId="16" fillId="12" borderId="14" xfId="0" applyFont="1" applyFill="1" applyBorder="1" applyAlignment="1">
      <alignment horizontal="center" vertical="center" wrapText="1" readingOrder="1"/>
    </xf>
    <xf numFmtId="0" fontId="16" fillId="12" borderId="15" xfId="0" applyFont="1" applyFill="1" applyBorder="1" applyAlignment="1">
      <alignment horizontal="center" vertical="center" wrapText="1" readingOrder="1"/>
    </xf>
    <xf numFmtId="0" fontId="16" fillId="12" borderId="16" xfId="0" applyFont="1" applyFill="1" applyBorder="1" applyAlignment="1">
      <alignment horizontal="center" vertical="center" wrapText="1" readingOrder="1"/>
    </xf>
    <xf numFmtId="0" fontId="16" fillId="12" borderId="17" xfId="0" applyFont="1" applyFill="1" applyBorder="1" applyAlignment="1">
      <alignment horizontal="center" vertical="center" wrapText="1" readingOrder="1"/>
    </xf>
    <xf numFmtId="0" fontId="16" fillId="4" borderId="10" xfId="0" applyFont="1" applyFill="1" applyBorder="1" applyAlignment="1">
      <alignment horizontal="center" vertical="center" wrapText="1" readingOrder="1"/>
    </xf>
    <xf numFmtId="0" fontId="16" fillId="4" borderId="11" xfId="0" applyFont="1" applyFill="1" applyBorder="1" applyAlignment="1">
      <alignment horizontal="center" vertical="center" wrapText="1" readingOrder="1"/>
    </xf>
    <xf numFmtId="0" fontId="16" fillId="4" borderId="12" xfId="0" applyFont="1" applyFill="1" applyBorder="1" applyAlignment="1">
      <alignment horizontal="center" vertical="center" wrapText="1" readingOrder="1"/>
    </xf>
    <xf numFmtId="0" fontId="16" fillId="4" borderId="13" xfId="0" applyFont="1" applyFill="1" applyBorder="1" applyAlignment="1">
      <alignment horizontal="center" vertical="center" wrapText="1" readingOrder="1"/>
    </xf>
    <xf numFmtId="0" fontId="16" fillId="4" borderId="0" xfId="0" applyFont="1" applyFill="1" applyAlignment="1">
      <alignment horizontal="center" vertical="center" wrapText="1" readingOrder="1"/>
    </xf>
    <xf numFmtId="0" fontId="16" fillId="4" borderId="14" xfId="0" applyFont="1" applyFill="1" applyBorder="1" applyAlignment="1">
      <alignment horizontal="center" vertical="center" wrapText="1" readingOrder="1"/>
    </xf>
    <xf numFmtId="0" fontId="16" fillId="4" borderId="15" xfId="0" applyFont="1" applyFill="1" applyBorder="1" applyAlignment="1">
      <alignment horizontal="center" vertical="center" wrapText="1" readingOrder="1"/>
    </xf>
    <xf numFmtId="0" fontId="16" fillId="4" borderId="16" xfId="0" applyFont="1" applyFill="1" applyBorder="1" applyAlignment="1">
      <alignment horizontal="center" vertical="center" wrapText="1" readingOrder="1"/>
    </xf>
    <xf numFmtId="0" fontId="16" fillId="4" borderId="17" xfId="0" applyFont="1" applyFill="1" applyBorder="1" applyAlignment="1">
      <alignment horizontal="center" vertical="center" wrapText="1" readingOrder="1"/>
    </xf>
    <xf numFmtId="0" fontId="25" fillId="0" borderId="2" xfId="0" applyFont="1" applyBorder="1" applyAlignment="1">
      <alignment horizontal="center" vertical="center" wrapText="1"/>
    </xf>
    <xf numFmtId="0" fontId="25" fillId="0" borderId="9"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0" xfId="0" applyFont="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7" xfId="0" applyFont="1" applyBorder="1" applyAlignment="1">
      <alignment horizontal="center" vertical="center"/>
    </xf>
    <xf numFmtId="0" fontId="25" fillId="0" borderId="9" xfId="0" applyFont="1" applyBorder="1" applyAlignment="1">
      <alignment horizontal="center" vertical="center" wrapText="1"/>
    </xf>
    <xf numFmtId="0" fontId="24" fillId="10" borderId="10" xfId="0" applyFont="1" applyFill="1" applyBorder="1" applyAlignment="1">
      <alignment horizontal="center" vertical="center" wrapText="1" readingOrder="1"/>
    </xf>
    <xf numFmtId="0" fontId="24" fillId="10" borderId="11" xfId="0" applyFont="1" applyFill="1" applyBorder="1" applyAlignment="1">
      <alignment horizontal="center" vertical="center" wrapText="1" readingOrder="1"/>
    </xf>
    <xf numFmtId="0" fontId="24" fillId="10" borderId="12" xfId="0" applyFont="1" applyFill="1" applyBorder="1" applyAlignment="1">
      <alignment horizontal="center" vertical="center" wrapText="1" readingOrder="1"/>
    </xf>
    <xf numFmtId="0" fontId="24" fillId="10" borderId="13" xfId="0" applyFont="1" applyFill="1" applyBorder="1" applyAlignment="1">
      <alignment horizontal="center" vertical="center" wrapText="1" readingOrder="1"/>
    </xf>
    <xf numFmtId="0" fontId="24" fillId="10" borderId="0" xfId="0" applyFont="1" applyFill="1" applyAlignment="1">
      <alignment horizontal="center" vertical="center" wrapText="1" readingOrder="1"/>
    </xf>
    <xf numFmtId="0" fontId="24" fillId="10" borderId="14" xfId="0" applyFont="1" applyFill="1" applyBorder="1" applyAlignment="1">
      <alignment horizontal="center" vertical="center" wrapText="1" readingOrder="1"/>
    </xf>
    <xf numFmtId="0" fontId="24" fillId="10" borderId="15" xfId="0" applyFont="1" applyFill="1" applyBorder="1" applyAlignment="1">
      <alignment horizontal="center" vertical="center" wrapText="1" readingOrder="1"/>
    </xf>
    <xf numFmtId="0" fontId="24" fillId="10" borderId="16" xfId="0" applyFont="1" applyFill="1" applyBorder="1" applyAlignment="1">
      <alignment horizontal="center" vertical="center" wrapText="1" readingOrder="1"/>
    </xf>
    <xf numFmtId="0" fontId="24" fillId="10" borderId="17" xfId="0" applyFont="1" applyFill="1" applyBorder="1" applyAlignment="1">
      <alignment horizontal="center" vertical="center" wrapText="1" readingOrder="1"/>
    </xf>
    <xf numFmtId="0" fontId="25" fillId="0" borderId="4" xfId="0" applyFont="1" applyBorder="1" applyAlignment="1">
      <alignment horizontal="center" vertical="center" wrapText="1"/>
    </xf>
    <xf numFmtId="0" fontId="24" fillId="11" borderId="10" xfId="0" applyFont="1" applyFill="1" applyBorder="1" applyAlignment="1">
      <alignment horizontal="center" vertical="center" wrapText="1" readingOrder="1"/>
    </xf>
    <xf numFmtId="0" fontId="24" fillId="11" borderId="11" xfId="0" applyFont="1" applyFill="1" applyBorder="1" applyAlignment="1">
      <alignment horizontal="center" vertical="center" wrapText="1" readingOrder="1"/>
    </xf>
    <xf numFmtId="0" fontId="24" fillId="11" borderId="12" xfId="0" applyFont="1" applyFill="1" applyBorder="1" applyAlignment="1">
      <alignment horizontal="center" vertical="center" wrapText="1" readingOrder="1"/>
    </xf>
    <xf numFmtId="0" fontId="24" fillId="11" borderId="13" xfId="0" applyFont="1" applyFill="1" applyBorder="1" applyAlignment="1">
      <alignment horizontal="center" vertical="center" wrapText="1" readingOrder="1"/>
    </xf>
    <xf numFmtId="0" fontId="24" fillId="11" borderId="0" xfId="0" applyFont="1" applyFill="1" applyAlignment="1">
      <alignment horizontal="center" vertical="center" wrapText="1" readingOrder="1"/>
    </xf>
    <xf numFmtId="0" fontId="24" fillId="11" borderId="14" xfId="0" applyFont="1" applyFill="1" applyBorder="1" applyAlignment="1">
      <alignment horizontal="center" vertical="center" wrapText="1" readingOrder="1"/>
    </xf>
    <xf numFmtId="0" fontId="24" fillId="11" borderId="15" xfId="0" applyFont="1" applyFill="1" applyBorder="1" applyAlignment="1">
      <alignment horizontal="center" vertical="center" wrapText="1" readingOrder="1"/>
    </xf>
    <xf numFmtId="0" fontId="24" fillId="11" borderId="16" xfId="0" applyFont="1" applyFill="1" applyBorder="1" applyAlignment="1">
      <alignment horizontal="center" vertical="center" wrapText="1" readingOrder="1"/>
    </xf>
    <xf numFmtId="0" fontId="24" fillId="11" borderId="17" xfId="0" applyFont="1" applyFill="1" applyBorder="1" applyAlignment="1">
      <alignment horizontal="center" vertical="center" wrapText="1" readingOrder="1"/>
    </xf>
    <xf numFmtId="0" fontId="23" fillId="0" borderId="0" xfId="0" applyFont="1" applyAlignment="1">
      <alignment horizontal="center" vertical="center" wrapText="1"/>
    </xf>
    <xf numFmtId="0" fontId="17" fillId="0" borderId="0" xfId="0" applyFont="1" applyAlignment="1">
      <alignment horizontal="center" vertical="center" wrapText="1"/>
    </xf>
    <xf numFmtId="0" fontId="24" fillId="4" borderId="10" xfId="0" applyFont="1" applyFill="1" applyBorder="1" applyAlignment="1">
      <alignment horizontal="center" vertical="center" wrapText="1" readingOrder="1"/>
    </xf>
    <xf numFmtId="0" fontId="24" fillId="4" borderId="11" xfId="0" applyFont="1" applyFill="1" applyBorder="1" applyAlignment="1">
      <alignment horizontal="center" vertical="center" wrapText="1" readingOrder="1"/>
    </xf>
    <xf numFmtId="0" fontId="24" fillId="4" borderId="12" xfId="0" applyFont="1" applyFill="1" applyBorder="1" applyAlignment="1">
      <alignment horizontal="center" vertical="center" wrapText="1" readingOrder="1"/>
    </xf>
    <xf numFmtId="0" fontId="24" fillId="4" borderId="13" xfId="0" applyFont="1" applyFill="1" applyBorder="1" applyAlignment="1">
      <alignment horizontal="center" vertical="center" wrapText="1" readingOrder="1"/>
    </xf>
    <xf numFmtId="0" fontId="24" fillId="4" borderId="0" xfId="0" applyFont="1" applyFill="1" applyAlignment="1">
      <alignment horizontal="center" vertical="center" wrapText="1" readingOrder="1"/>
    </xf>
    <xf numFmtId="0" fontId="24" fillId="4" borderId="14" xfId="0" applyFont="1" applyFill="1" applyBorder="1" applyAlignment="1">
      <alignment horizontal="center" vertical="center" wrapText="1" readingOrder="1"/>
    </xf>
    <xf numFmtId="0" fontId="24" fillId="4" borderId="15" xfId="0" applyFont="1" applyFill="1" applyBorder="1" applyAlignment="1">
      <alignment horizontal="center" vertical="center" wrapText="1" readingOrder="1"/>
    </xf>
    <xf numFmtId="0" fontId="24" fillId="4" borderId="16" xfId="0" applyFont="1" applyFill="1" applyBorder="1" applyAlignment="1">
      <alignment horizontal="center" vertical="center" wrapText="1" readingOrder="1"/>
    </xf>
    <xf numFmtId="0" fontId="24" fillId="4" borderId="17" xfId="0" applyFont="1" applyFill="1" applyBorder="1" applyAlignment="1">
      <alignment horizontal="center" vertical="center" wrapText="1" readingOrder="1"/>
    </xf>
    <xf numFmtId="0" fontId="24" fillId="12" borderId="10" xfId="0" applyFont="1" applyFill="1" applyBorder="1" applyAlignment="1">
      <alignment horizontal="center" vertical="center" wrapText="1" readingOrder="1"/>
    </xf>
    <xf numFmtId="0" fontId="24" fillId="12" borderId="11" xfId="0" applyFont="1" applyFill="1" applyBorder="1" applyAlignment="1">
      <alignment horizontal="center" vertical="center" wrapText="1" readingOrder="1"/>
    </xf>
    <xf numFmtId="0" fontId="24" fillId="12" borderId="12" xfId="0" applyFont="1" applyFill="1" applyBorder="1" applyAlignment="1">
      <alignment horizontal="center" vertical="center" wrapText="1" readingOrder="1"/>
    </xf>
    <xf numFmtId="0" fontId="24" fillId="12" borderId="13" xfId="0" applyFont="1" applyFill="1" applyBorder="1" applyAlignment="1">
      <alignment horizontal="center" vertical="center" wrapText="1" readingOrder="1"/>
    </xf>
    <xf numFmtId="0" fontId="24" fillId="12" borderId="0" xfId="0" applyFont="1" applyFill="1" applyAlignment="1">
      <alignment horizontal="center" vertical="center" wrapText="1" readingOrder="1"/>
    </xf>
    <xf numFmtId="0" fontId="24" fillId="12" borderId="14" xfId="0" applyFont="1" applyFill="1" applyBorder="1" applyAlignment="1">
      <alignment horizontal="center" vertical="center" wrapText="1" readingOrder="1"/>
    </xf>
    <xf numFmtId="0" fontId="24" fillId="12" borderId="15" xfId="0" applyFont="1" applyFill="1" applyBorder="1" applyAlignment="1">
      <alignment horizontal="center" vertical="center" wrapText="1" readingOrder="1"/>
    </xf>
    <xf numFmtId="0" fontId="24" fillId="12" borderId="16" xfId="0" applyFont="1" applyFill="1" applyBorder="1" applyAlignment="1">
      <alignment horizontal="center" vertical="center" wrapText="1" readingOrder="1"/>
    </xf>
    <xf numFmtId="0" fontId="24" fillId="12" borderId="17" xfId="0" applyFont="1" applyFill="1" applyBorder="1" applyAlignment="1">
      <alignment horizontal="center" vertical="center" wrapText="1" readingOrder="1"/>
    </xf>
    <xf numFmtId="0" fontId="19" fillId="0" borderId="18" xfId="0" applyFont="1" applyBorder="1" applyAlignment="1">
      <alignment horizontal="center" vertical="center"/>
    </xf>
    <xf numFmtId="0" fontId="55" fillId="0" borderId="18" xfId="0" applyFont="1" applyBorder="1" applyAlignment="1">
      <alignment horizontal="center" vertical="center"/>
    </xf>
    <xf numFmtId="0" fontId="49" fillId="13" borderId="20" xfId="0" applyFont="1" applyFill="1" applyBorder="1" applyAlignment="1">
      <alignment horizontal="center" vertical="center" wrapText="1" readingOrder="1"/>
    </xf>
    <xf numFmtId="0" fontId="49" fillId="13" borderId="21" xfId="0" applyFont="1" applyFill="1" applyBorder="1" applyAlignment="1">
      <alignment horizontal="center" vertical="center" wrapText="1" readingOrder="1"/>
    </xf>
    <xf numFmtId="0" fontId="49" fillId="13" borderId="32" xfId="0" applyFont="1" applyFill="1" applyBorder="1" applyAlignment="1">
      <alignment horizontal="center" vertical="center" wrapText="1" readingOrder="1"/>
    </xf>
    <xf numFmtId="0" fontId="54" fillId="2" borderId="0" xfId="0" applyFont="1" applyFill="1" applyAlignment="1">
      <alignment horizontal="justify" vertical="center" wrapText="1"/>
    </xf>
    <xf numFmtId="0" fontId="50" fillId="13" borderId="29" xfId="0" applyFont="1" applyFill="1" applyBorder="1" applyAlignment="1">
      <alignment horizontal="center" vertical="center" wrapText="1" readingOrder="1"/>
    </xf>
    <xf numFmtId="0" fontId="50" fillId="13" borderId="30" xfId="0" applyFont="1" applyFill="1" applyBorder="1" applyAlignment="1">
      <alignment horizontal="center" vertical="center" wrapText="1" readingOrder="1"/>
    </xf>
    <xf numFmtId="0" fontId="50" fillId="2" borderId="27" xfId="0" applyFont="1" applyFill="1" applyBorder="1" applyAlignment="1">
      <alignment horizontal="center" vertical="center" wrapText="1" readingOrder="1"/>
    </xf>
    <xf numFmtId="0" fontId="50" fillId="2" borderId="22" xfId="0" applyFont="1" applyFill="1" applyBorder="1" applyAlignment="1">
      <alignment horizontal="center" vertical="center" wrapText="1" readingOrder="1"/>
    </xf>
    <xf numFmtId="0" fontId="50" fillId="2" borderId="19" xfId="0" applyFont="1" applyFill="1" applyBorder="1" applyAlignment="1">
      <alignment horizontal="center" vertical="center" wrapText="1" readingOrder="1"/>
    </xf>
    <xf numFmtId="0" fontId="50" fillId="2" borderId="18" xfId="0" applyFont="1" applyFill="1" applyBorder="1" applyAlignment="1">
      <alignment horizontal="center" vertical="center" wrapText="1" readingOrder="1"/>
    </xf>
    <xf numFmtId="0" fontId="50" fillId="2" borderId="24" xfId="0" applyFont="1" applyFill="1" applyBorder="1" applyAlignment="1">
      <alignment horizontal="center" vertical="center" wrapText="1" readingOrder="1"/>
    </xf>
    <xf numFmtId="0" fontId="50" fillId="2" borderId="25" xfId="0" applyFont="1" applyFill="1" applyBorder="1" applyAlignment="1">
      <alignment horizontal="center" vertical="center" wrapText="1" readingOrder="1"/>
    </xf>
  </cellXfs>
  <cellStyles count="6">
    <cellStyle name="Hipervínculo" xfId="5" builtinId="8"/>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30">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Arial"/>
        <scheme val="none"/>
      </font>
      <fill>
        <patternFill patternType="none">
          <fgColor indexed="64"/>
          <bgColor indexed="65"/>
        </patternFill>
      </fill>
    </dxf>
    <dxf>
      <font>
        <b val="0"/>
        <i val="0"/>
        <strike val="0"/>
        <condense val="0"/>
        <extend val="0"/>
        <outline val="0"/>
        <shadow val="0"/>
        <u val="none"/>
        <vertAlign val="baseline"/>
        <sz val="16"/>
        <color rgb="FFFF0000"/>
        <name val="Arial"/>
        <scheme val="none"/>
      </font>
      <fill>
        <patternFill patternType="none">
          <fgColor indexed="64"/>
          <bgColor indexed="65"/>
        </patternFill>
      </fill>
    </dxf>
    <dxf>
      <font>
        <b val="0"/>
        <i val="0"/>
        <strike val="0"/>
        <condense val="0"/>
        <extend val="0"/>
        <outline val="0"/>
        <shadow val="0"/>
        <u val="none"/>
        <vertAlign val="baseline"/>
        <sz val="16"/>
        <color rgb="FFFF0000"/>
        <name val="Arial"/>
        <scheme val="none"/>
      </font>
      <fill>
        <patternFill patternType="none">
          <fgColor indexed="64"/>
          <bgColor indexed="65"/>
        </patternFill>
      </fill>
    </dxf>
    <dxf>
      <font>
        <b val="0"/>
        <i val="0"/>
        <strike val="0"/>
        <condense val="0"/>
        <extend val="0"/>
        <outline val="0"/>
        <shadow val="0"/>
        <u val="none"/>
        <vertAlign val="baseline"/>
        <sz val="16"/>
        <color rgb="FFFF0000"/>
        <name val="Arial"/>
        <scheme val="none"/>
      </font>
      <fill>
        <patternFill patternType="none">
          <fgColor indexed="64"/>
          <bgColor indexed="65"/>
        </patternFill>
      </fill>
      <alignment horizontal="general" vertical="center" textRotation="0" wrapText="0" indent="0" justifyLastLine="0" shrinkToFit="0" readingOrder="0"/>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s>
  <tableStyles count="0" defaultTableStyle="TableStyleMedium2" defaultPivotStyle="PivotStyleLight16"/>
  <colors>
    <mruColors>
      <color rgb="FFE2EFDA"/>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69273</xdr:colOff>
      <xdr:row>0</xdr:row>
      <xdr:rowOff>103909</xdr:rowOff>
    </xdr:from>
    <xdr:to>
      <xdr:col>2</xdr:col>
      <xdr:colOff>1261111</xdr:colOff>
      <xdr:row>2</xdr:row>
      <xdr:rowOff>253094</xdr:rowOff>
    </xdr:to>
    <xdr:pic>
      <xdr:nvPicPr>
        <xdr:cNvPr id="3" name="Imagen 2">
          <a:extLst>
            <a:ext uri="{FF2B5EF4-FFF2-40B4-BE49-F238E27FC236}">
              <a16:creationId xmlns:a16="http://schemas.microsoft.com/office/drawing/2014/main" id="{06507322-DCF0-4E9D-ACD7-609F3E29527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980" b="8602"/>
        <a:stretch/>
      </xdr:blipFill>
      <xdr:spPr>
        <a:xfrm>
          <a:off x="69273" y="103909"/>
          <a:ext cx="4464628" cy="911185"/>
        </a:xfrm>
        <a:prstGeom prst="rect">
          <a:avLst/>
        </a:prstGeom>
      </xdr:spPr>
    </xdr:pic>
    <xdr:clientData/>
  </xdr:twoCellAnchor>
  <xdr:twoCellAnchor editAs="oneCell">
    <xdr:from>
      <xdr:col>15</xdr:col>
      <xdr:colOff>76200</xdr:colOff>
      <xdr:row>0</xdr:row>
      <xdr:rowOff>114300</xdr:rowOff>
    </xdr:from>
    <xdr:to>
      <xdr:col>16</xdr:col>
      <xdr:colOff>3893128</xdr:colOff>
      <xdr:row>2</xdr:row>
      <xdr:rowOff>263485</xdr:rowOff>
    </xdr:to>
    <xdr:pic>
      <xdr:nvPicPr>
        <xdr:cNvPr id="4" name="Imagen 3">
          <a:extLst>
            <a:ext uri="{FF2B5EF4-FFF2-40B4-BE49-F238E27FC236}">
              <a16:creationId xmlns:a16="http://schemas.microsoft.com/office/drawing/2014/main" id="{DB5523F9-601C-4DCC-A0BC-F3A600826B1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980" b="8602"/>
        <a:stretch/>
      </xdr:blipFill>
      <xdr:spPr>
        <a:xfrm>
          <a:off x="21526500" y="114300"/>
          <a:ext cx="4464628" cy="91118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8"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29">
      <pivotArea type="all" dataOnly="0" outline="0" fieldPosition="0"/>
    </format>
    <format dxfId="28">
      <pivotArea field="0" type="button" dataOnly="0" labelOnly="1" outline="0" axis="axisRow" fieldPosition="0"/>
    </format>
    <format dxfId="27">
      <pivotArea field="1" type="button" dataOnly="0" labelOnly="1" outline="0" axis="axisRow" fieldPosition="1"/>
    </format>
    <format dxfId="26">
      <pivotArea dataOnly="0" labelOnly="1" outline="0" fieldPosition="0">
        <references count="1">
          <reference field="0" count="0"/>
        </references>
      </pivotArea>
    </format>
    <format dxfId="25">
      <pivotArea dataOnly="0" labelOnly="1" outline="0" fieldPosition="0">
        <references count="2">
          <reference field="0" count="1" selected="0">
            <x v="0"/>
          </reference>
          <reference field="1" count="5">
            <x v="0"/>
            <x v="6"/>
            <x v="7"/>
            <x v="8"/>
            <x v="9"/>
          </reference>
        </references>
      </pivotArea>
    </format>
    <format dxfId="2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3" dataDxfId="22">
  <autoFilter ref="B209:C219" xr:uid="{00000000-0009-0000-0100-000001000000}"/>
  <tableColumns count="2">
    <tableColumn id="1" xr3:uid="{00000000-0010-0000-0000-000001000000}" name="Criterios" dataDxfId="21"/>
    <tableColumn id="2" xr3:uid="{00000000-0010-0000-0000-000002000000}" name="Subcriterios" dataDxfId="2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corvivienda.gov.co/web/index.php/corvivienda/mi-casa-avanza" TargetMode="External"/><Relationship Id="rId18" Type="http://schemas.openxmlformats.org/officeDocument/2006/relationships/hyperlink" Target="https://www.corvivienda.gov.co/web/index.php/component/sppagebuilder/?view=page&amp;id=246" TargetMode="External"/><Relationship Id="rId26" Type="http://schemas.openxmlformats.org/officeDocument/2006/relationships/hyperlink" Target="https://www.corvivienda.gov.co/web/index.php/component/sppagebuilder/?view=page&amp;id=246" TargetMode="External"/><Relationship Id="rId39" Type="http://schemas.openxmlformats.org/officeDocument/2006/relationships/hyperlink" Target="../../../../../../:x:/g/personal/atencionalusuario_2_corvivienda_gov_co/ERTzeyjam5hFnXX1Fctjv7sBSaMcXS3s4Be5Vp7F2d4JUA?e=N23eA6" TargetMode="External"/><Relationship Id="rId21" Type="http://schemas.openxmlformats.org/officeDocument/2006/relationships/hyperlink" Target="https://www.corvivienda.gov.co/web/index.php/component/sppagebuilder/?view=page&amp;id=249" TargetMode="External"/><Relationship Id="rId34" Type="http://schemas.openxmlformats.org/officeDocument/2006/relationships/hyperlink" Target="../../../../../../:f:/g/personal/atencionalusuario_2_corvivienda_gov_co/Eq9AZZrbywtEvRw90U05aaMBo_5EXEVTns83PzTZYbRGDQ?e=hZMUMZ" TargetMode="External"/><Relationship Id="rId42" Type="http://schemas.openxmlformats.org/officeDocument/2006/relationships/hyperlink" Target="../../../../../../:x:/g/personal/atencionalusuario_2_corvivienda_gov_co/ERTzeyjam5hFnXX1Fctjv7sBSaMcXS3s4Be5Vp7F2d4JUA?e=N23eA6" TargetMode="External"/><Relationship Id="rId47" Type="http://schemas.openxmlformats.org/officeDocument/2006/relationships/hyperlink" Target="../../../../../../:b:/g/personal/atencionalusuario_2_corvivienda_gov_co/EdPFWZKfHN9HgoWHy89SMFoBwn8u0ndFMiBz3wCp4PYYAQ?e=ZsiJq0" TargetMode="External"/><Relationship Id="rId50" Type="http://schemas.openxmlformats.org/officeDocument/2006/relationships/printerSettings" Target="../printerSettings/printerSettings2.bin"/><Relationship Id="rId7" Type="http://schemas.openxmlformats.org/officeDocument/2006/relationships/hyperlink" Target="https://drive.google.com/file/d/16XOCSevykH5bvvdLb8gi4FuxpFYcympa/view?usp=sharing" TargetMode="External"/><Relationship Id="rId2" Type="http://schemas.openxmlformats.org/officeDocument/2006/relationships/hyperlink" Target="https://www.corvivienda.gov.co/web/index.php/component/sppagebuilder/?view=page&amp;id=246" TargetMode="External"/><Relationship Id="rId16" Type="http://schemas.openxmlformats.org/officeDocument/2006/relationships/hyperlink" Target="https://www.corvivienda.gov.co/web/index.php/component/sppagebuilder/?view=page&amp;id=247" TargetMode="External"/><Relationship Id="rId29" Type="http://schemas.openxmlformats.org/officeDocument/2006/relationships/hyperlink" Target="https://docs.google.com/document/d/1kryOfDFor-qkSoQXk6BY6xDWb3_h9IiU/edit?usp=sharing&amp;ouid=103032665492727452424&amp;rtpof=true&amp;sd=true" TargetMode="External"/><Relationship Id="rId11" Type="http://schemas.openxmlformats.org/officeDocument/2006/relationships/hyperlink" Target="https://www.corvivienda.gov.co/web/index.php/component/sppagebuilder/?view=page&amp;id=246" TargetMode="External"/><Relationship Id="rId24" Type="http://schemas.openxmlformats.org/officeDocument/2006/relationships/hyperlink" Target="https://www.corvivienda.gov.co/web/index.php/component/sppagebuilder/?view=page&amp;id=246" TargetMode="External"/><Relationship Id="rId32" Type="http://schemas.openxmlformats.org/officeDocument/2006/relationships/hyperlink" Target="https://drive.google.com/file/d/1_guEfbDJkBRrQw4b6bBSb9Q1DHyiRdE2/view?usp=sharing" TargetMode="External"/><Relationship Id="rId37" Type="http://schemas.openxmlformats.org/officeDocument/2006/relationships/hyperlink" Target="../../../../../../:f:/g/personal/atencionalusuario_2_corvivienda_gov_co/Eq9AZZrbywtEvRw90U05aaMBo_5EXEVTns83PzTZYbRGDQ?e=hZMUMZ" TargetMode="External"/><Relationship Id="rId40" Type="http://schemas.openxmlformats.org/officeDocument/2006/relationships/hyperlink" Target="../../../../../../:x:/g/personal/atencionalusuario_2_corvivienda_gov_co/ERTzeyjam5hFnXX1Fctjv7sBSaMcXS3s4Be5Vp7F2d4JUA?e=N23eA6" TargetMode="External"/><Relationship Id="rId45" Type="http://schemas.openxmlformats.org/officeDocument/2006/relationships/hyperlink" Target="../../../../../../:x:/g/personal/atencionalusuario_2_corvivienda_gov_co/ERTzeyjam5hFnXX1Fctjv7sBSaMcXS3s4Be5Vp7F2d4JUA?e=N23eA6" TargetMode="External"/><Relationship Id="rId5" Type="http://schemas.openxmlformats.org/officeDocument/2006/relationships/hyperlink" Target="https://www.corvivienda.gov.co/web/index.php/component/sppagebuilder/?view=page&amp;id=247" TargetMode="External"/><Relationship Id="rId15" Type="http://schemas.openxmlformats.org/officeDocument/2006/relationships/hyperlink" Target="https://www.corvivienda.gov.co/web/index.php/component/sppagebuilder/?view=page&amp;id=247" TargetMode="External"/><Relationship Id="rId23" Type="http://schemas.openxmlformats.org/officeDocument/2006/relationships/hyperlink" Target="https://www.corvivienda.gov.co/web/index.php/component/sppagebuilder/?view=page&amp;id=249" TargetMode="External"/><Relationship Id="rId28" Type="http://schemas.openxmlformats.org/officeDocument/2006/relationships/hyperlink" Target="https://docs.google.com/document/d/10pRC7BYqaIIWziVbuGcAdyrDrTEI50dX/edit?usp=sharing&amp;ouid=103032665492727452424&amp;rtpof=true&amp;sd=true" TargetMode="External"/><Relationship Id="rId36" Type="http://schemas.openxmlformats.org/officeDocument/2006/relationships/hyperlink" Target="../../../../../../:f:/g/personal/atencionalusuario_2_corvivienda_gov_co/Eq9AZZrbywtEvRw90U05aaMBo_5EXEVTns83PzTZYbRGDQ?e=hZMUMZ" TargetMode="External"/><Relationship Id="rId49" Type="http://schemas.openxmlformats.org/officeDocument/2006/relationships/hyperlink" Target="../../../../../../:b:/g/personal/atencionalusuario_2_corvivienda_gov_co/EcwvzOuXvnpNpTaHKRfwCH0BRXmfyyOO8_FatJhbsA0Alw?e=WfLCKI" TargetMode="External"/><Relationship Id="rId10" Type="http://schemas.openxmlformats.org/officeDocument/2006/relationships/hyperlink" Target="https://www.corvivienda.gov.co/web/index.php/component/sppagebuilder/?view=page&amp;id=246" TargetMode="External"/><Relationship Id="rId19" Type="http://schemas.openxmlformats.org/officeDocument/2006/relationships/hyperlink" Target="https://www.corvivienda.gov.co/web/index.php/component/sppagebuilder/?view=page&amp;id=246" TargetMode="External"/><Relationship Id="rId31" Type="http://schemas.openxmlformats.org/officeDocument/2006/relationships/hyperlink" Target="https://drive.google.com/file/d/1U8t1PQunDWkMgrL1-HezqjQfhchLw2HQ/view?usp=sharing" TargetMode="External"/><Relationship Id="rId44" Type="http://schemas.openxmlformats.org/officeDocument/2006/relationships/hyperlink" Target="../../../../../../:x:/g/personal/atencionalusuario_2_corvivienda_gov_co/ERTzeyjam5hFnXX1Fctjv7sBSaMcXS3s4Be5Vp7F2d4JUA?e=N23eA6" TargetMode="External"/><Relationship Id="rId4" Type="http://schemas.openxmlformats.org/officeDocument/2006/relationships/hyperlink" Target="https://www.corvivienda.gov.co/web/index.php/component/sppagebuilder/?view=page&amp;id=246" TargetMode="External"/><Relationship Id="rId9" Type="http://schemas.openxmlformats.org/officeDocument/2006/relationships/hyperlink" Target="https://www.corvivienda.gov.co/web/index.php/component/sppagebuilder/?view=page&amp;id=246" TargetMode="External"/><Relationship Id="rId14" Type="http://schemas.openxmlformats.org/officeDocument/2006/relationships/hyperlink" Target="https://www.corvivienda.gov.co/web/index.php/corvivienda/mi-casa-avanza" TargetMode="External"/><Relationship Id="rId22" Type="http://schemas.openxmlformats.org/officeDocument/2006/relationships/hyperlink" Target="https://www.corvivienda.gov.co/web/index.php/component/sppagebuilder/?view=page&amp;id=249" TargetMode="External"/><Relationship Id="rId27" Type="http://schemas.openxmlformats.org/officeDocument/2006/relationships/hyperlink" Target="../../../../:w:/g/personal/comunicaciones_corvivienda_gov_co/EX4m5izvUV1Lj82f9fmr0L4BwPVNAuD4TCQdihP-XE_j5A?e=3igPIB" TargetMode="External"/><Relationship Id="rId30" Type="http://schemas.openxmlformats.org/officeDocument/2006/relationships/hyperlink" Target="https://drive.google.com/file/d/1CeIW24UBEbrnwVqBSIMD_4hpsMJyT4h1/view?usp=sharing" TargetMode="External"/><Relationship Id="rId35" Type="http://schemas.openxmlformats.org/officeDocument/2006/relationships/hyperlink" Target="../../../../../../:f:/g/personal/atencionalusuario_2_corvivienda_gov_co/Eq9AZZrbywtEvRw90U05aaMBo_5EXEVTns83PzTZYbRGDQ?e=hZMUMZ" TargetMode="External"/><Relationship Id="rId43" Type="http://schemas.openxmlformats.org/officeDocument/2006/relationships/hyperlink" Target="../../../../../../:x:/g/personal/atencionalusuario_2_corvivienda_gov_co/ERTzeyjam5hFnXX1Fctjv7sBSaMcXS3s4Be5Vp7F2d4JUA?e=N23eA6" TargetMode="External"/><Relationship Id="rId48" Type="http://schemas.openxmlformats.org/officeDocument/2006/relationships/hyperlink" Target="../../../../../../:b:/g/personal/atencionalusuario_2_corvivienda_gov_co/EeJN29ARwrBHhByRqG0y4_YBbLDRfVU7v1fDOCJpA7uRHA?e=tv5FLq" TargetMode="External"/><Relationship Id="rId8" Type="http://schemas.openxmlformats.org/officeDocument/2006/relationships/hyperlink" Target="https://docs.google.com/spreadsheets/d/1JzDAQCiSuMQTv0WADVERsS_UFHM_zDTS/edit?usp=sharing&amp;ouid=103032665492727452424&amp;rtpof=true&amp;sd=true" TargetMode="External"/><Relationship Id="rId51" Type="http://schemas.openxmlformats.org/officeDocument/2006/relationships/drawing" Target="../drawings/drawing1.xml"/><Relationship Id="rId3" Type="http://schemas.openxmlformats.org/officeDocument/2006/relationships/hyperlink" Target="https://www.corvivienda.gov.co/web/index.php/component/sppagebuilder/?view=page&amp;id=246" TargetMode="External"/><Relationship Id="rId12" Type="http://schemas.openxmlformats.org/officeDocument/2006/relationships/hyperlink" Target="https://www.corvivienda.gov.co/web/index.php/component/sppagebuilder/?view=page&amp;id=246" TargetMode="External"/><Relationship Id="rId17" Type="http://schemas.openxmlformats.org/officeDocument/2006/relationships/hyperlink" Target="https://www.corvivienda.gov.co/web/index.php/component/sppagebuilder/?view=page&amp;id=246" TargetMode="External"/><Relationship Id="rId25" Type="http://schemas.openxmlformats.org/officeDocument/2006/relationships/hyperlink" Target="https://www.corvivienda.gov.co/web/index.php/component/sppagebuilder/?view=page&amp;id=246" TargetMode="External"/><Relationship Id="rId33" Type="http://schemas.openxmlformats.org/officeDocument/2006/relationships/hyperlink" Target="../../../../:f:/g/personal/direccion_administrativa_corvivienda_gov_co/EiosI43l47tAn6dBbSkvXRMBrjCwwtmxK155Qc1nXOe5Gw?e=YrZDfd" TargetMode="External"/><Relationship Id="rId38" Type="http://schemas.openxmlformats.org/officeDocument/2006/relationships/hyperlink" Target="../../../../../../:x:/g/personal/atencionalusuario_2_corvivienda_gov_co/ERTzeyjam5hFnXX1Fctjv7sBSaMcXS3s4Be5Vp7F2d4JUA?e=N23eA6" TargetMode="External"/><Relationship Id="rId46" Type="http://schemas.openxmlformats.org/officeDocument/2006/relationships/hyperlink" Target="../../../../../../:b:/g/personal/atencionalusuario_2_corvivienda_gov_co/EUpV2nDOzTZAq8TRmRNwQNkBYB2VgXspFghYv5DCXxiS2w?e=dGrcnq" TargetMode="External"/><Relationship Id="rId20" Type="http://schemas.openxmlformats.org/officeDocument/2006/relationships/hyperlink" Target="https://www.corvivienda.gov.co/web/index.php/component/sppagebuilder/?view=page&amp;id=249" TargetMode="External"/><Relationship Id="rId41" Type="http://schemas.openxmlformats.org/officeDocument/2006/relationships/hyperlink" Target="../../../../../../:x:/g/personal/atencionalusuario_2_corvivienda_gov_co/ERTzeyjam5hFnXX1Fctjv7sBSaMcXS3s4Be5Vp7F2d4JUA?e=N23eA6" TargetMode="External"/><Relationship Id="rId1" Type="http://schemas.openxmlformats.org/officeDocument/2006/relationships/hyperlink" Target="../../../../:w:/g/personal/comunicaciones_corvivienda_gov_co/EX4m5izvUV1Lj82f9fmr0L4BwPVNAuD4TCQdihP-XE_j5A?e=3igPIB" TargetMode="External"/><Relationship Id="rId6" Type="http://schemas.openxmlformats.org/officeDocument/2006/relationships/hyperlink" Target="../../../../:p:/g/personal/dtecnica_corvivienda_gov_co/EcKTjlYMZ45As70sO2oKyfQBfAcsIIpZjeqEPxumfVABgw?CID=2178e9fa-21f5-3c1b-fd54-2426babbe0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7" zoomScale="110" zoomScaleNormal="110" workbookViewId="0">
      <selection activeCell="B2" sqref="B2:H2"/>
    </sheetView>
  </sheetViews>
  <sheetFormatPr baseColWidth="10" defaultColWidth="11.44140625" defaultRowHeight="13.8" x14ac:dyDescent="0.25"/>
  <cols>
    <col min="1" max="1" width="2.88671875" style="58" customWidth="1"/>
    <col min="2" max="3" width="24.6640625" style="58" customWidth="1"/>
    <col min="4" max="4" width="16" style="58" customWidth="1"/>
    <col min="5" max="5" width="24.6640625" style="58" customWidth="1"/>
    <col min="6" max="6" width="27.6640625" style="58" customWidth="1"/>
    <col min="7" max="8" width="24.6640625" style="58" customWidth="1"/>
    <col min="9" max="16384" width="11.44140625" style="58"/>
  </cols>
  <sheetData>
    <row r="1" spans="2:8" ht="14.4" thickBot="1" x14ac:dyDescent="0.3"/>
    <row r="2" spans="2:8" ht="23.7" customHeight="1" x14ac:dyDescent="0.25">
      <c r="B2" s="179" t="s">
        <v>0</v>
      </c>
      <c r="C2" s="180"/>
      <c r="D2" s="180"/>
      <c r="E2" s="180"/>
      <c r="F2" s="180"/>
      <c r="G2" s="180"/>
      <c r="H2" s="181"/>
    </row>
    <row r="3" spans="2:8" x14ac:dyDescent="0.25">
      <c r="B3" s="59"/>
      <c r="C3" s="60"/>
      <c r="D3" s="60"/>
      <c r="E3" s="60"/>
      <c r="F3" s="60"/>
      <c r="G3" s="60"/>
      <c r="H3" s="61"/>
    </row>
    <row r="4" spans="2:8" ht="63.45" customHeight="1" x14ac:dyDescent="0.25">
      <c r="B4" s="182" t="s">
        <v>1</v>
      </c>
      <c r="C4" s="183"/>
      <c r="D4" s="183"/>
      <c r="E4" s="183"/>
      <c r="F4" s="183"/>
      <c r="G4" s="183"/>
      <c r="H4" s="184"/>
    </row>
    <row r="5" spans="2:8" ht="75.75" customHeight="1" x14ac:dyDescent="0.25">
      <c r="B5" s="185"/>
      <c r="C5" s="186"/>
      <c r="D5" s="186"/>
      <c r="E5" s="186"/>
      <c r="F5" s="186"/>
      <c r="G5" s="186"/>
      <c r="H5" s="187"/>
    </row>
    <row r="6" spans="2:8" x14ac:dyDescent="0.25">
      <c r="B6" s="188" t="s">
        <v>2</v>
      </c>
      <c r="C6" s="189"/>
      <c r="D6" s="189"/>
      <c r="E6" s="189"/>
      <c r="F6" s="189"/>
      <c r="G6" s="189"/>
      <c r="H6" s="190"/>
    </row>
    <row r="7" spans="2:8" ht="95.7" customHeight="1" x14ac:dyDescent="0.25">
      <c r="B7" s="195" t="s">
        <v>3</v>
      </c>
      <c r="C7" s="196"/>
      <c r="D7" s="196"/>
      <c r="E7" s="196"/>
      <c r="F7" s="196"/>
      <c r="G7" s="196"/>
      <c r="H7" s="197"/>
    </row>
    <row r="8" spans="2:8" x14ac:dyDescent="0.25">
      <c r="B8" s="62"/>
      <c r="C8" s="63"/>
      <c r="D8" s="63"/>
      <c r="E8" s="63"/>
      <c r="F8" s="63"/>
      <c r="G8" s="63"/>
      <c r="H8" s="64"/>
    </row>
    <row r="9" spans="2:8" ht="16.5" customHeight="1" x14ac:dyDescent="0.25">
      <c r="B9" s="182" t="s">
        <v>4</v>
      </c>
      <c r="C9" s="183"/>
      <c r="D9" s="183"/>
      <c r="E9" s="183"/>
      <c r="F9" s="183"/>
      <c r="G9" s="183"/>
      <c r="H9" s="184"/>
    </row>
    <row r="10" spans="2:8" ht="56.25" customHeight="1" x14ac:dyDescent="0.25">
      <c r="B10" s="182"/>
      <c r="C10" s="183"/>
      <c r="D10" s="183"/>
      <c r="E10" s="183"/>
      <c r="F10" s="183"/>
      <c r="G10" s="183"/>
      <c r="H10" s="184"/>
    </row>
    <row r="11" spans="2:8" ht="14.4" thickBot="1" x14ac:dyDescent="0.3">
      <c r="B11" s="65"/>
      <c r="C11" s="66"/>
      <c r="D11" s="67"/>
      <c r="E11" s="68"/>
      <c r="F11" s="68"/>
      <c r="G11" s="69"/>
      <c r="H11" s="70"/>
    </row>
    <row r="12" spans="2:8" ht="14.4" thickTop="1" x14ac:dyDescent="0.25">
      <c r="B12" s="65"/>
      <c r="C12" s="191" t="s">
        <v>5</v>
      </c>
      <c r="D12" s="192"/>
      <c r="E12" s="193" t="s">
        <v>6</v>
      </c>
      <c r="F12" s="194"/>
      <c r="G12" s="66"/>
      <c r="H12" s="70"/>
    </row>
    <row r="13" spans="2:8" ht="35.25" customHeight="1" x14ac:dyDescent="0.25">
      <c r="B13" s="65"/>
      <c r="C13" s="198" t="s">
        <v>7</v>
      </c>
      <c r="D13" s="199"/>
      <c r="E13" s="200" t="s">
        <v>8</v>
      </c>
      <c r="F13" s="201"/>
      <c r="G13" s="66"/>
      <c r="H13" s="70"/>
    </row>
    <row r="14" spans="2:8" ht="17.25" customHeight="1" x14ac:dyDescent="0.25">
      <c r="B14" s="65"/>
      <c r="C14" s="198" t="s">
        <v>9</v>
      </c>
      <c r="D14" s="199"/>
      <c r="E14" s="200" t="s">
        <v>10</v>
      </c>
      <c r="F14" s="201"/>
      <c r="G14" s="66"/>
      <c r="H14" s="70"/>
    </row>
    <row r="15" spans="2:8" ht="19.95" customHeight="1" x14ac:dyDescent="0.25">
      <c r="B15" s="65"/>
      <c r="C15" s="198" t="s">
        <v>11</v>
      </c>
      <c r="D15" s="199"/>
      <c r="E15" s="200" t="s">
        <v>12</v>
      </c>
      <c r="F15" s="201"/>
      <c r="G15" s="66"/>
      <c r="H15" s="70"/>
    </row>
    <row r="16" spans="2:8" ht="70.2" customHeight="1" x14ac:dyDescent="0.25">
      <c r="B16" s="65"/>
      <c r="C16" s="198" t="s">
        <v>13</v>
      </c>
      <c r="D16" s="199"/>
      <c r="E16" s="200" t="s">
        <v>14</v>
      </c>
      <c r="F16" s="201"/>
      <c r="G16" s="66"/>
      <c r="H16" s="70"/>
    </row>
    <row r="17" spans="2:8" ht="34.5" customHeight="1" x14ac:dyDescent="0.25">
      <c r="B17" s="65"/>
      <c r="C17" s="202" t="s">
        <v>15</v>
      </c>
      <c r="D17" s="203"/>
      <c r="E17" s="204" t="s">
        <v>16</v>
      </c>
      <c r="F17" s="205"/>
      <c r="G17" s="66"/>
      <c r="H17" s="70"/>
    </row>
    <row r="18" spans="2:8" ht="27.75" customHeight="1" x14ac:dyDescent="0.25">
      <c r="B18" s="65"/>
      <c r="C18" s="202" t="s">
        <v>17</v>
      </c>
      <c r="D18" s="203"/>
      <c r="E18" s="204" t="s">
        <v>18</v>
      </c>
      <c r="F18" s="205"/>
      <c r="G18" s="66"/>
      <c r="H18" s="70"/>
    </row>
    <row r="19" spans="2:8" ht="28.5" customHeight="1" x14ac:dyDescent="0.25">
      <c r="B19" s="65"/>
      <c r="C19" s="202" t="s">
        <v>19</v>
      </c>
      <c r="D19" s="203"/>
      <c r="E19" s="204" t="s">
        <v>20</v>
      </c>
      <c r="F19" s="205"/>
      <c r="G19" s="66"/>
      <c r="H19" s="70"/>
    </row>
    <row r="20" spans="2:8" ht="72.75" customHeight="1" x14ac:dyDescent="0.25">
      <c r="B20" s="65"/>
      <c r="C20" s="202" t="s">
        <v>21</v>
      </c>
      <c r="D20" s="203"/>
      <c r="E20" s="204" t="s">
        <v>22</v>
      </c>
      <c r="F20" s="205"/>
      <c r="G20" s="66"/>
      <c r="H20" s="70"/>
    </row>
    <row r="21" spans="2:8" ht="64.5" customHeight="1" x14ac:dyDescent="0.25">
      <c r="B21" s="65"/>
      <c r="C21" s="202" t="s">
        <v>23</v>
      </c>
      <c r="D21" s="203"/>
      <c r="E21" s="204" t="s">
        <v>24</v>
      </c>
      <c r="F21" s="205"/>
      <c r="G21" s="66"/>
      <c r="H21" s="70"/>
    </row>
    <row r="22" spans="2:8" ht="71.25" customHeight="1" x14ac:dyDescent="0.25">
      <c r="B22" s="65"/>
      <c r="C22" s="202" t="s">
        <v>25</v>
      </c>
      <c r="D22" s="203"/>
      <c r="E22" s="204" t="s">
        <v>26</v>
      </c>
      <c r="F22" s="205"/>
      <c r="G22" s="66"/>
      <c r="H22" s="70"/>
    </row>
    <row r="23" spans="2:8" ht="55.95" customHeight="1" x14ac:dyDescent="0.25">
      <c r="B23" s="65"/>
      <c r="C23" s="209" t="s">
        <v>27</v>
      </c>
      <c r="D23" s="210"/>
      <c r="E23" s="204" t="s">
        <v>28</v>
      </c>
      <c r="F23" s="205"/>
      <c r="G23" s="66"/>
      <c r="H23" s="70"/>
    </row>
    <row r="24" spans="2:8" ht="42" customHeight="1" x14ac:dyDescent="0.25">
      <c r="B24" s="65"/>
      <c r="C24" s="209" t="s">
        <v>29</v>
      </c>
      <c r="D24" s="210"/>
      <c r="E24" s="204" t="s">
        <v>30</v>
      </c>
      <c r="F24" s="205"/>
      <c r="G24" s="66"/>
      <c r="H24" s="70"/>
    </row>
    <row r="25" spans="2:8" ht="59.7" customHeight="1" x14ac:dyDescent="0.25">
      <c r="B25" s="65"/>
      <c r="C25" s="209" t="s">
        <v>31</v>
      </c>
      <c r="D25" s="210"/>
      <c r="E25" s="204" t="s">
        <v>32</v>
      </c>
      <c r="F25" s="205"/>
      <c r="G25" s="66"/>
      <c r="H25" s="70"/>
    </row>
    <row r="26" spans="2:8" ht="23.7" customHeight="1" x14ac:dyDescent="0.25">
      <c r="B26" s="65"/>
      <c r="C26" s="209" t="s">
        <v>33</v>
      </c>
      <c r="D26" s="210"/>
      <c r="E26" s="204" t="s">
        <v>34</v>
      </c>
      <c r="F26" s="205"/>
      <c r="G26" s="66"/>
      <c r="H26" s="70"/>
    </row>
    <row r="27" spans="2:8" ht="30.75" customHeight="1" x14ac:dyDescent="0.25">
      <c r="B27" s="65"/>
      <c r="C27" s="209" t="s">
        <v>35</v>
      </c>
      <c r="D27" s="210"/>
      <c r="E27" s="204" t="s">
        <v>36</v>
      </c>
      <c r="F27" s="205"/>
      <c r="G27" s="66"/>
      <c r="H27" s="70"/>
    </row>
    <row r="28" spans="2:8" ht="35.25" customHeight="1" x14ac:dyDescent="0.25">
      <c r="B28" s="65"/>
      <c r="C28" s="209" t="s">
        <v>37</v>
      </c>
      <c r="D28" s="210"/>
      <c r="E28" s="204" t="s">
        <v>38</v>
      </c>
      <c r="F28" s="205"/>
      <c r="G28" s="66"/>
      <c r="H28" s="70"/>
    </row>
    <row r="29" spans="2:8" ht="33" customHeight="1" x14ac:dyDescent="0.25">
      <c r="B29" s="65"/>
      <c r="C29" s="209" t="s">
        <v>37</v>
      </c>
      <c r="D29" s="210"/>
      <c r="E29" s="204" t="s">
        <v>38</v>
      </c>
      <c r="F29" s="205"/>
      <c r="G29" s="66"/>
      <c r="H29" s="70"/>
    </row>
    <row r="30" spans="2:8" ht="30" customHeight="1" x14ac:dyDescent="0.25">
      <c r="B30" s="65"/>
      <c r="C30" s="209" t="s">
        <v>39</v>
      </c>
      <c r="D30" s="210"/>
      <c r="E30" s="204" t="s">
        <v>40</v>
      </c>
      <c r="F30" s="205"/>
      <c r="G30" s="66"/>
      <c r="H30" s="70"/>
    </row>
    <row r="31" spans="2:8" ht="35.25" customHeight="1" x14ac:dyDescent="0.25">
      <c r="B31" s="65"/>
      <c r="C31" s="209" t="s">
        <v>41</v>
      </c>
      <c r="D31" s="210"/>
      <c r="E31" s="204" t="s">
        <v>42</v>
      </c>
      <c r="F31" s="205"/>
      <c r="G31" s="66"/>
      <c r="H31" s="70"/>
    </row>
    <row r="32" spans="2:8" ht="31.5" customHeight="1" x14ac:dyDescent="0.25">
      <c r="B32" s="65"/>
      <c r="C32" s="209" t="s">
        <v>43</v>
      </c>
      <c r="D32" s="210"/>
      <c r="E32" s="204" t="s">
        <v>44</v>
      </c>
      <c r="F32" s="205"/>
      <c r="G32" s="66"/>
      <c r="H32" s="70"/>
    </row>
    <row r="33" spans="2:8" ht="35.25" customHeight="1" x14ac:dyDescent="0.25">
      <c r="B33" s="65"/>
      <c r="C33" s="209" t="s">
        <v>45</v>
      </c>
      <c r="D33" s="210"/>
      <c r="E33" s="204" t="s">
        <v>46</v>
      </c>
      <c r="F33" s="205"/>
      <c r="G33" s="66"/>
      <c r="H33" s="70"/>
    </row>
    <row r="34" spans="2:8" ht="59.7" customHeight="1" x14ac:dyDescent="0.25">
      <c r="B34" s="65"/>
      <c r="C34" s="209" t="s">
        <v>47</v>
      </c>
      <c r="D34" s="210"/>
      <c r="E34" s="204" t="s">
        <v>48</v>
      </c>
      <c r="F34" s="205"/>
      <c r="G34" s="66"/>
      <c r="H34" s="70"/>
    </row>
    <row r="35" spans="2:8" ht="29.25" customHeight="1" x14ac:dyDescent="0.25">
      <c r="B35" s="65"/>
      <c r="C35" s="209" t="s">
        <v>49</v>
      </c>
      <c r="D35" s="210"/>
      <c r="E35" s="204" t="s">
        <v>50</v>
      </c>
      <c r="F35" s="205"/>
      <c r="G35" s="66"/>
      <c r="H35" s="70"/>
    </row>
    <row r="36" spans="2:8" ht="82.5" customHeight="1" x14ac:dyDescent="0.25">
      <c r="B36" s="65"/>
      <c r="C36" s="209" t="s">
        <v>51</v>
      </c>
      <c r="D36" s="210"/>
      <c r="E36" s="204" t="s">
        <v>52</v>
      </c>
      <c r="F36" s="205"/>
      <c r="G36" s="66"/>
      <c r="H36" s="70"/>
    </row>
    <row r="37" spans="2:8" ht="46.5" customHeight="1" x14ac:dyDescent="0.25">
      <c r="B37" s="65"/>
      <c r="C37" s="209" t="s">
        <v>53</v>
      </c>
      <c r="D37" s="210"/>
      <c r="E37" s="204" t="s">
        <v>54</v>
      </c>
      <c r="F37" s="205"/>
      <c r="G37" s="66"/>
      <c r="H37" s="70"/>
    </row>
    <row r="38" spans="2:8" ht="6.75" customHeight="1" thickBot="1" x14ac:dyDescent="0.3">
      <c r="B38" s="65"/>
      <c r="C38" s="211"/>
      <c r="D38" s="212"/>
      <c r="E38" s="213"/>
      <c r="F38" s="214"/>
      <c r="G38" s="66"/>
      <c r="H38" s="70"/>
    </row>
    <row r="39" spans="2:8" ht="14.4" thickTop="1" x14ac:dyDescent="0.25">
      <c r="B39" s="65"/>
      <c r="C39" s="71"/>
      <c r="D39" s="71"/>
      <c r="E39" s="72"/>
      <c r="F39" s="72"/>
      <c r="G39" s="66"/>
      <c r="H39" s="70"/>
    </row>
    <row r="40" spans="2:8" ht="31.5" customHeight="1" x14ac:dyDescent="0.25">
      <c r="B40" s="206" t="s">
        <v>55</v>
      </c>
      <c r="C40" s="207"/>
      <c r="D40" s="207"/>
      <c r="E40" s="207"/>
      <c r="F40" s="207"/>
      <c r="G40" s="207"/>
      <c r="H40" s="208"/>
    </row>
    <row r="41" spans="2:8" ht="34.200000000000003" customHeight="1" x14ac:dyDescent="0.25">
      <c r="B41" s="206" t="s">
        <v>56</v>
      </c>
      <c r="C41" s="207"/>
      <c r="D41" s="207"/>
      <c r="E41" s="207"/>
      <c r="F41" s="207"/>
      <c r="G41" s="207"/>
      <c r="H41" s="208"/>
    </row>
    <row r="42" spans="2:8" ht="22.5" customHeight="1" x14ac:dyDescent="0.25">
      <c r="B42" s="206" t="s">
        <v>57</v>
      </c>
      <c r="C42" s="207"/>
      <c r="D42" s="207"/>
      <c r="E42" s="207"/>
      <c r="F42" s="207"/>
      <c r="G42" s="207"/>
      <c r="H42" s="208"/>
    </row>
    <row r="43" spans="2:8" ht="22.5" customHeight="1" x14ac:dyDescent="0.25">
      <c r="B43" s="206" t="s">
        <v>58</v>
      </c>
      <c r="C43" s="207"/>
      <c r="D43" s="207"/>
      <c r="E43" s="207"/>
      <c r="F43" s="207"/>
      <c r="G43" s="207"/>
      <c r="H43" s="208"/>
    </row>
    <row r="44" spans="2:8" ht="22.5" customHeight="1" x14ac:dyDescent="0.25">
      <c r="B44" s="206" t="s">
        <v>59</v>
      </c>
      <c r="C44" s="207"/>
      <c r="D44" s="207"/>
      <c r="E44" s="207"/>
      <c r="F44" s="207"/>
      <c r="G44" s="207"/>
      <c r="H44" s="208"/>
    </row>
    <row r="45" spans="2:8" ht="14.4" thickBot="1" x14ac:dyDescent="0.3">
      <c r="B45" s="73"/>
      <c r="C45" s="74"/>
      <c r="D45" s="74"/>
      <c r="E45" s="74"/>
      <c r="F45" s="74"/>
      <c r="G45" s="74"/>
      <c r="H45" s="75"/>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S30"/>
  <sheetViews>
    <sheetView tabSelected="1" topLeftCell="AH22" zoomScale="47" zoomScaleNormal="47" zoomScaleSheetLayoutView="19" workbookViewId="0">
      <selection activeCell="AU27" sqref="AU27"/>
    </sheetView>
  </sheetViews>
  <sheetFormatPr baseColWidth="10" defaultColWidth="11.44140625" defaultRowHeight="13.8" x14ac:dyDescent="0.25"/>
  <cols>
    <col min="1" max="1" width="8.5546875" style="48" customWidth="1"/>
    <col min="2" max="2" width="42.109375" style="48" customWidth="1"/>
    <col min="3" max="3" width="30.33203125" style="48" customWidth="1"/>
    <col min="4" max="4" width="30.5546875" style="48" customWidth="1"/>
    <col min="5" max="5" width="58.33203125" style="48" customWidth="1"/>
    <col min="6" max="6" width="115.109375" style="47" customWidth="1"/>
    <col min="7" max="7" width="25.109375" style="49" customWidth="1"/>
    <col min="8" max="8" width="18.6640625" style="47" customWidth="1"/>
    <col min="9" max="9" width="16.5546875" style="47" customWidth="1"/>
    <col min="10" max="10" width="7.88671875" style="47" customWidth="1"/>
    <col min="11" max="11" width="27.33203125" style="47" bestFit="1" customWidth="1"/>
    <col min="12" max="12" width="30.5546875" style="47" customWidth="1"/>
    <col min="13" max="13" width="17.5546875" style="47" customWidth="1"/>
    <col min="14" max="14" width="9.44140625" style="47" customWidth="1"/>
    <col min="15" max="15" width="18.109375" style="47" customWidth="1"/>
    <col min="16" max="16" width="9.44140625" style="47" customWidth="1"/>
    <col min="17" max="17" width="110.88671875" style="47" customWidth="1"/>
    <col min="18" max="18" width="16.5546875" style="47" bestFit="1" customWidth="1"/>
    <col min="19" max="19" width="6.88671875" style="47" customWidth="1"/>
    <col min="20" max="20" width="5" style="47" customWidth="1"/>
    <col min="21" max="21" width="5.5546875" style="47" customWidth="1"/>
    <col min="22" max="22" width="7.109375" style="47" customWidth="1"/>
    <col min="23" max="23" width="6.6640625" style="47" customWidth="1"/>
    <col min="24" max="24" width="7.5546875" style="47" customWidth="1"/>
    <col min="25" max="25" width="38.33203125" style="47" hidden="1" customWidth="1"/>
    <col min="26" max="26" width="8.6640625" style="47" customWidth="1"/>
    <col min="27" max="27" width="10.44140625" style="47" customWidth="1"/>
    <col min="28" max="28" width="9.33203125" style="47" customWidth="1"/>
    <col min="29" max="29" width="9.109375" style="47" customWidth="1"/>
    <col min="30" max="30" width="8.44140625" style="47" customWidth="1"/>
    <col min="31" max="31" width="7.33203125" style="47" customWidth="1"/>
    <col min="32" max="32" width="76.44140625" style="47" customWidth="1"/>
    <col min="33" max="33" width="33.6640625" style="47" customWidth="1"/>
    <col min="34" max="35" width="25.6640625" style="47" customWidth="1"/>
    <col min="36" max="36" width="24.6640625" style="47" customWidth="1"/>
    <col min="37" max="37" width="18.6640625" style="47" customWidth="1"/>
    <col min="38" max="38" width="25.88671875" style="47" customWidth="1"/>
    <col min="39" max="39" width="33.33203125" style="47" customWidth="1"/>
    <col min="40" max="40" width="26.109375" style="47" customWidth="1"/>
    <col min="41" max="41" width="31.109375" style="47" customWidth="1"/>
    <col min="42" max="42" width="32.6640625" style="47" customWidth="1"/>
    <col min="43" max="43" width="29.44140625" style="47" customWidth="1"/>
    <col min="44" max="45" width="37.33203125" style="47" customWidth="1"/>
    <col min="46" max="48" width="27.5546875" style="47" customWidth="1"/>
    <col min="49" max="16384" width="11.44140625" style="47"/>
  </cols>
  <sheetData>
    <row r="1" spans="1:71" ht="30" customHeight="1" x14ac:dyDescent="0.25">
      <c r="A1" s="226" t="s">
        <v>60</v>
      </c>
      <c r="B1" s="227"/>
      <c r="C1" s="227"/>
      <c r="D1" s="227"/>
      <c r="E1" s="227"/>
      <c r="F1" s="227"/>
      <c r="G1" s="227"/>
      <c r="H1" s="227"/>
      <c r="I1" s="227"/>
      <c r="J1" s="227"/>
      <c r="K1" s="227"/>
      <c r="L1" s="228"/>
      <c r="M1" s="224" t="s">
        <v>61</v>
      </c>
      <c r="N1" s="225"/>
      <c r="O1" s="235"/>
      <c r="P1" s="226" t="s">
        <v>60</v>
      </c>
      <c r="Q1" s="236"/>
      <c r="R1" s="236"/>
      <c r="S1" s="236"/>
      <c r="T1" s="236"/>
      <c r="U1" s="236"/>
      <c r="V1" s="236"/>
      <c r="W1" s="236"/>
      <c r="X1" s="236"/>
      <c r="Y1" s="236"/>
      <c r="Z1" s="236"/>
      <c r="AA1" s="236"/>
      <c r="AB1" s="236"/>
      <c r="AC1" s="236"/>
      <c r="AD1" s="236"/>
      <c r="AE1" s="236"/>
      <c r="AF1" s="236"/>
      <c r="AG1" s="236"/>
      <c r="AH1" s="236"/>
      <c r="AI1" s="237"/>
      <c r="AJ1" s="224" t="str">
        <f>+M1</f>
        <v>Código: ES-DEFO-24</v>
      </c>
      <c r="AK1" s="225"/>
    </row>
    <row r="2" spans="1:71" ht="30" customHeight="1" x14ac:dyDescent="0.25">
      <c r="A2" s="229"/>
      <c r="B2" s="230"/>
      <c r="C2" s="230"/>
      <c r="D2" s="230"/>
      <c r="E2" s="230"/>
      <c r="F2" s="230"/>
      <c r="G2" s="230"/>
      <c r="H2" s="230"/>
      <c r="I2" s="230"/>
      <c r="J2" s="230"/>
      <c r="K2" s="230"/>
      <c r="L2" s="231"/>
      <c r="M2" s="224" t="s">
        <v>62</v>
      </c>
      <c r="N2" s="225"/>
      <c r="O2" s="235"/>
      <c r="P2" s="238"/>
      <c r="Q2" s="239"/>
      <c r="R2" s="239"/>
      <c r="S2" s="239"/>
      <c r="T2" s="239"/>
      <c r="U2" s="239"/>
      <c r="V2" s="239"/>
      <c r="W2" s="239"/>
      <c r="X2" s="239"/>
      <c r="Y2" s="239"/>
      <c r="Z2" s="239"/>
      <c r="AA2" s="239"/>
      <c r="AB2" s="239"/>
      <c r="AC2" s="239"/>
      <c r="AD2" s="239"/>
      <c r="AE2" s="239"/>
      <c r="AF2" s="239"/>
      <c r="AG2" s="239"/>
      <c r="AH2" s="239"/>
      <c r="AI2" s="240"/>
      <c r="AJ2" s="224" t="str">
        <f t="shared" ref="AJ2:AJ3" si="0">+M2</f>
        <v>Fecha: 03/10/2023</v>
      </c>
      <c r="AK2" s="225"/>
    </row>
    <row r="3" spans="1:71" ht="30" customHeight="1" x14ac:dyDescent="0.25">
      <c r="A3" s="232"/>
      <c r="B3" s="233"/>
      <c r="C3" s="233"/>
      <c r="D3" s="233"/>
      <c r="E3" s="233"/>
      <c r="F3" s="233"/>
      <c r="G3" s="233"/>
      <c r="H3" s="233"/>
      <c r="I3" s="233"/>
      <c r="J3" s="233"/>
      <c r="K3" s="233"/>
      <c r="L3" s="234"/>
      <c r="M3" s="224" t="s">
        <v>63</v>
      </c>
      <c r="N3" s="225"/>
      <c r="O3" s="235"/>
      <c r="P3" s="241"/>
      <c r="Q3" s="242"/>
      <c r="R3" s="242"/>
      <c r="S3" s="242"/>
      <c r="T3" s="242"/>
      <c r="U3" s="242"/>
      <c r="V3" s="242"/>
      <c r="W3" s="242"/>
      <c r="X3" s="242"/>
      <c r="Y3" s="242"/>
      <c r="Z3" s="242"/>
      <c r="AA3" s="242"/>
      <c r="AB3" s="242"/>
      <c r="AC3" s="242"/>
      <c r="AD3" s="242"/>
      <c r="AE3" s="242"/>
      <c r="AF3" s="242"/>
      <c r="AG3" s="242"/>
      <c r="AH3" s="242"/>
      <c r="AI3" s="243"/>
      <c r="AJ3" s="224" t="str">
        <f t="shared" si="0"/>
        <v>Versión: 1</v>
      </c>
      <c r="AK3" s="225"/>
    </row>
    <row r="5" spans="1:71" ht="44.25" customHeight="1" x14ac:dyDescent="0.25">
      <c r="A5" s="246" t="s">
        <v>64</v>
      </c>
      <c r="B5" s="246"/>
      <c r="C5" s="246"/>
      <c r="D5" s="244" t="s">
        <v>65</v>
      </c>
      <c r="E5" s="244"/>
      <c r="F5" s="244"/>
      <c r="G5" s="244"/>
      <c r="H5" s="244"/>
      <c r="I5" s="244"/>
      <c r="J5" s="244"/>
      <c r="K5" s="244"/>
      <c r="L5" s="244"/>
      <c r="M5" s="244"/>
      <c r="N5" s="244"/>
      <c r="O5" s="244"/>
      <c r="P5" s="245"/>
      <c r="Q5" s="245"/>
      <c r="R5" s="245"/>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row>
    <row r="6" spans="1:71" ht="66.75" customHeight="1" x14ac:dyDescent="0.25">
      <c r="A6" s="246" t="s">
        <v>66</v>
      </c>
      <c r="B6" s="246"/>
      <c r="C6" s="246"/>
      <c r="D6" s="248" t="s">
        <v>67</v>
      </c>
      <c r="E6" s="248"/>
      <c r="F6" s="248"/>
      <c r="G6" s="248"/>
      <c r="H6" s="248"/>
      <c r="I6" s="248"/>
      <c r="J6" s="248"/>
      <c r="K6" s="248"/>
      <c r="L6" s="248"/>
      <c r="M6" s="248"/>
      <c r="N6" s="248"/>
      <c r="O6" s="248"/>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row>
    <row r="7" spans="1:71" ht="49.5" customHeight="1" x14ac:dyDescent="0.25">
      <c r="A7" s="247" t="s">
        <v>68</v>
      </c>
      <c r="B7" s="247"/>
      <c r="C7" s="247"/>
      <c r="D7" s="249" t="s">
        <v>313</v>
      </c>
      <c r="E7" s="249"/>
      <c r="F7" s="249"/>
      <c r="G7" s="249"/>
      <c r="H7" s="249"/>
      <c r="I7" s="249"/>
      <c r="J7" s="249"/>
      <c r="K7" s="249"/>
      <c r="L7" s="249"/>
      <c r="M7" s="249"/>
      <c r="N7" s="249"/>
      <c r="O7" s="249"/>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row>
    <row r="8" spans="1:71" s="56" customFormat="1" ht="37.950000000000003" customHeight="1" x14ac:dyDescent="0.25">
      <c r="A8" s="215" t="s">
        <v>69</v>
      </c>
      <c r="B8" s="215"/>
      <c r="C8" s="215"/>
      <c r="D8" s="215"/>
      <c r="E8" s="215"/>
      <c r="F8" s="215"/>
      <c r="G8" s="215"/>
      <c r="H8" s="215"/>
      <c r="I8" s="215" t="s">
        <v>70</v>
      </c>
      <c r="J8" s="215"/>
      <c r="K8" s="215"/>
      <c r="L8" s="215"/>
      <c r="M8" s="215"/>
      <c r="N8" s="215"/>
      <c r="O8" s="215"/>
      <c r="P8" s="215" t="s">
        <v>71</v>
      </c>
      <c r="Q8" s="215"/>
      <c r="R8" s="215"/>
      <c r="S8" s="215"/>
      <c r="T8" s="215"/>
      <c r="U8" s="215"/>
      <c r="V8" s="215"/>
      <c r="W8" s="215"/>
      <c r="X8" s="215"/>
      <c r="Y8" s="217" t="s">
        <v>72</v>
      </c>
      <c r="Z8" s="217"/>
      <c r="AA8" s="217"/>
      <c r="AB8" s="217"/>
      <c r="AC8" s="217"/>
      <c r="AD8" s="217"/>
      <c r="AE8" s="217"/>
      <c r="AF8" s="215" t="s">
        <v>73</v>
      </c>
      <c r="AG8" s="215"/>
      <c r="AH8" s="215"/>
      <c r="AI8" s="215"/>
      <c r="AJ8" s="215"/>
      <c r="AK8" s="215"/>
      <c r="AL8" s="215" t="s">
        <v>326</v>
      </c>
      <c r="AM8" s="215"/>
      <c r="AN8" s="215"/>
      <c r="AO8" s="215"/>
      <c r="AP8" s="215"/>
      <c r="AQ8" s="215"/>
      <c r="AR8" s="215"/>
      <c r="AS8" s="143"/>
      <c r="AT8" s="216"/>
      <c r="AU8" s="216"/>
      <c r="AV8" s="216"/>
      <c r="AW8" s="54"/>
      <c r="AX8" s="54"/>
      <c r="AY8" s="54"/>
      <c r="AZ8" s="54"/>
      <c r="BA8" s="54"/>
      <c r="BB8" s="54"/>
      <c r="BC8" s="54"/>
      <c r="BD8" s="54"/>
      <c r="BE8" s="54"/>
      <c r="BF8" s="54"/>
      <c r="BG8" s="54"/>
      <c r="BH8" s="54"/>
      <c r="BI8" s="54"/>
      <c r="BJ8" s="54"/>
      <c r="BK8" s="54"/>
      <c r="BL8" s="54"/>
      <c r="BM8" s="54"/>
      <c r="BN8" s="54"/>
      <c r="BO8" s="54"/>
      <c r="BP8" s="54"/>
      <c r="BQ8" s="54"/>
      <c r="BR8" s="54"/>
    </row>
    <row r="9" spans="1:71" s="56" customFormat="1" ht="16.5" customHeight="1" x14ac:dyDescent="0.25">
      <c r="A9" s="221" t="s">
        <v>74</v>
      </c>
      <c r="B9" s="53"/>
      <c r="C9" s="215" t="s">
        <v>15</v>
      </c>
      <c r="D9" s="217" t="s">
        <v>75</v>
      </c>
      <c r="E9" s="217" t="s">
        <v>76</v>
      </c>
      <c r="F9" s="215" t="s">
        <v>21</v>
      </c>
      <c r="G9" s="217" t="s">
        <v>23</v>
      </c>
      <c r="H9" s="217" t="s">
        <v>77</v>
      </c>
      <c r="I9" s="217" t="s">
        <v>78</v>
      </c>
      <c r="J9" s="215" t="s">
        <v>79</v>
      </c>
      <c r="K9" s="217" t="s">
        <v>80</v>
      </c>
      <c r="L9" s="217" t="s">
        <v>81</v>
      </c>
      <c r="M9" s="217" t="s">
        <v>82</v>
      </c>
      <c r="N9" s="215" t="s">
        <v>79</v>
      </c>
      <c r="O9" s="217" t="s">
        <v>29</v>
      </c>
      <c r="P9" s="223" t="s">
        <v>83</v>
      </c>
      <c r="Q9" s="217" t="s">
        <v>31</v>
      </c>
      <c r="R9" s="217" t="s">
        <v>33</v>
      </c>
      <c r="S9" s="217" t="s">
        <v>84</v>
      </c>
      <c r="T9" s="217"/>
      <c r="U9" s="217"/>
      <c r="V9" s="217"/>
      <c r="W9" s="217"/>
      <c r="X9" s="217"/>
      <c r="Y9" s="223" t="s">
        <v>85</v>
      </c>
      <c r="Z9" s="223" t="s">
        <v>86</v>
      </c>
      <c r="AA9" s="223" t="s">
        <v>79</v>
      </c>
      <c r="AB9" s="223" t="s">
        <v>87</v>
      </c>
      <c r="AC9" s="223" t="s">
        <v>79</v>
      </c>
      <c r="AD9" s="223" t="s">
        <v>88</v>
      </c>
      <c r="AE9" s="223" t="s">
        <v>49</v>
      </c>
      <c r="AF9" s="217" t="s">
        <v>73</v>
      </c>
      <c r="AG9" s="217" t="s">
        <v>89</v>
      </c>
      <c r="AH9" s="217" t="s">
        <v>90</v>
      </c>
      <c r="AI9" s="217" t="s">
        <v>91</v>
      </c>
      <c r="AJ9" s="217" t="s">
        <v>92</v>
      </c>
      <c r="AK9" s="217" t="s">
        <v>53</v>
      </c>
      <c r="AL9" s="217" t="s">
        <v>320</v>
      </c>
      <c r="AM9" s="217" t="s">
        <v>321</v>
      </c>
      <c r="AN9" s="217" t="s">
        <v>322</v>
      </c>
      <c r="AO9" s="215" t="s">
        <v>321</v>
      </c>
      <c r="AP9" s="217" t="s">
        <v>323</v>
      </c>
      <c r="AQ9" s="144"/>
      <c r="AR9" s="217" t="s">
        <v>343</v>
      </c>
      <c r="AS9" s="144"/>
      <c r="AT9" s="217" t="s">
        <v>324</v>
      </c>
      <c r="AU9" s="217" t="s">
        <v>325</v>
      </c>
      <c r="AV9" s="217" t="s">
        <v>53</v>
      </c>
      <c r="AW9" s="54"/>
      <c r="AX9" s="54"/>
      <c r="AY9" s="54"/>
      <c r="AZ9" s="54"/>
      <c r="BA9" s="54"/>
      <c r="BB9" s="54"/>
      <c r="BC9" s="54"/>
      <c r="BD9" s="54"/>
      <c r="BE9" s="54"/>
      <c r="BF9" s="54"/>
      <c r="BG9" s="54"/>
      <c r="BH9" s="54"/>
      <c r="BI9" s="54"/>
      <c r="BJ9" s="54"/>
      <c r="BK9" s="54"/>
      <c r="BL9" s="54"/>
      <c r="BM9" s="54"/>
      <c r="BN9" s="54"/>
      <c r="BO9" s="54"/>
      <c r="BP9" s="54"/>
      <c r="BQ9" s="54"/>
      <c r="BR9" s="54"/>
    </row>
    <row r="10" spans="1:71" s="57" customFormat="1" ht="184.95" customHeight="1" x14ac:dyDescent="0.3">
      <c r="A10" s="221"/>
      <c r="B10" s="53" t="s">
        <v>93</v>
      </c>
      <c r="C10" s="215"/>
      <c r="D10" s="217"/>
      <c r="E10" s="217"/>
      <c r="F10" s="215"/>
      <c r="G10" s="217"/>
      <c r="H10" s="217"/>
      <c r="I10" s="217"/>
      <c r="J10" s="215"/>
      <c r="K10" s="217"/>
      <c r="L10" s="217"/>
      <c r="M10" s="215"/>
      <c r="N10" s="215"/>
      <c r="O10" s="217"/>
      <c r="P10" s="223"/>
      <c r="Q10" s="217"/>
      <c r="R10" s="217"/>
      <c r="S10" s="53" t="s">
        <v>94</v>
      </c>
      <c r="T10" s="53" t="s">
        <v>95</v>
      </c>
      <c r="U10" s="53" t="s">
        <v>96</v>
      </c>
      <c r="V10" s="53" t="s">
        <v>97</v>
      </c>
      <c r="W10" s="53" t="s">
        <v>98</v>
      </c>
      <c r="X10" s="53" t="s">
        <v>99</v>
      </c>
      <c r="Y10" s="223"/>
      <c r="Z10" s="223"/>
      <c r="AA10" s="223"/>
      <c r="AB10" s="223"/>
      <c r="AC10" s="223"/>
      <c r="AD10" s="223"/>
      <c r="AE10" s="223"/>
      <c r="AF10" s="217"/>
      <c r="AG10" s="217"/>
      <c r="AH10" s="217"/>
      <c r="AI10" s="217"/>
      <c r="AJ10" s="217"/>
      <c r="AK10" s="217"/>
      <c r="AL10" s="217"/>
      <c r="AM10" s="217"/>
      <c r="AN10" s="217"/>
      <c r="AO10" s="215"/>
      <c r="AP10" s="217"/>
      <c r="AQ10" s="144" t="s">
        <v>321</v>
      </c>
      <c r="AR10" s="217"/>
      <c r="AS10" s="144" t="s">
        <v>321</v>
      </c>
      <c r="AT10" s="217"/>
      <c r="AU10" s="217"/>
      <c r="AV10" s="217"/>
      <c r="AW10" s="55"/>
      <c r="AX10" s="55"/>
      <c r="AY10" s="55"/>
      <c r="AZ10" s="55"/>
      <c r="BA10" s="55"/>
      <c r="BB10" s="55"/>
      <c r="BC10" s="55"/>
      <c r="BD10" s="55"/>
      <c r="BE10" s="55"/>
      <c r="BF10" s="55"/>
      <c r="BG10" s="55"/>
      <c r="BH10" s="55"/>
      <c r="BI10" s="55"/>
      <c r="BJ10" s="55"/>
      <c r="BK10" s="55"/>
      <c r="BL10" s="55"/>
      <c r="BM10" s="55"/>
      <c r="BN10" s="55"/>
      <c r="BO10" s="55"/>
      <c r="BP10" s="55"/>
      <c r="BQ10" s="55"/>
      <c r="BR10" s="55"/>
    </row>
    <row r="11" spans="1:71" s="52" customFormat="1" ht="250.95" customHeight="1" x14ac:dyDescent="0.3">
      <c r="A11" s="119">
        <v>1</v>
      </c>
      <c r="B11" s="222" t="s">
        <v>100</v>
      </c>
      <c r="C11" s="120" t="s">
        <v>101</v>
      </c>
      <c r="D11" s="120" t="s">
        <v>102</v>
      </c>
      <c r="E11" s="120" t="s">
        <v>103</v>
      </c>
      <c r="F11" s="134" t="s">
        <v>104</v>
      </c>
      <c r="G11" s="117" t="s">
        <v>105</v>
      </c>
      <c r="H11" s="116">
        <v>1</v>
      </c>
      <c r="I11" s="128" t="str">
        <f>IF(H11&lt;=0,"",IF(H11&lt;=2,"Muy Baja",IF(H11&lt;=24,"Baja",IF(H11&lt;=500,"Media",IF(H11&lt;=5000,"Alta","Muy Alta")))))</f>
        <v>Muy Baja</v>
      </c>
      <c r="J11" s="129">
        <f>IF(I11="","",IF(I11="Muy Baja",0.2,IF(I11="Baja",0.4,IF(I11="Media",0.6,IF(I11="Alta",0.8,IF(I11="Muy Alta",1,))))))</f>
        <v>0.2</v>
      </c>
      <c r="K11" s="131" t="s">
        <v>106</v>
      </c>
      <c r="L11" s="129" t="str">
        <f>IF(NOT(ISERROR(MATCH(K11,'Tabla Impacto'!$B$221:$B$223,0))),'Tabla Impacto'!$F$223&amp;"Por favor no seleccionar los criterios de impacto(Afectación Económica o presupuestal y Pérdida Reputacional)",K11)</f>
        <v xml:space="preserve">     El riesgo afecta la imagen de la entidad internamente, de conocimiento general, nivel interno, de junta dircetiva y accionistas y/o de provedores</v>
      </c>
      <c r="M11" s="128" t="str">
        <f>IF(OR(L11='Tabla Impacto'!$C$11,L11='Tabla Impacto'!$D$11),"Leve",IF(OR(L11='Tabla Impacto'!$C$12,L11='Tabla Impacto'!$D$12),"Menor",IF(OR(L11='Tabla Impacto'!$C$13,L11='Tabla Impacto'!$D$13),"Moderado",IF(OR(L11='Tabla Impacto'!$C$14,L11='Tabla Impacto'!$D$14),"Mayor",IF(OR(L11='Tabla Impacto'!$C$15,L11='Tabla Impacto'!$D$15),"Catastrófico","")))))</f>
        <v>Menor</v>
      </c>
      <c r="N11" s="129">
        <f>IF(M11="","",IF(M11="Leve",0.2,IF(M11="Menor",0.4,IF(M11="Moderado",0.6,IF(M11="Mayor",0.8,IF(M11="Catastrófico",1,))))))</f>
        <v>0.4</v>
      </c>
      <c r="O11" s="132" t="str">
        <f>IF(OR(AND(I11="Muy Baja",M11="Leve"),AND(I11="Muy Baja",M11="Menor"),AND(I11="Baja",M11="Leve")),"Bajo",IF(OR(AND(I11="Muy baja",M11="Moderado"),AND(I11="Baja",M11="Menor"),AND(I11="Baja",M11="Moderado"),AND(I11="Media",M11="Leve"),AND(I11="Media",M11="Menor"),AND(I11="Media",M11="Moderado"),AND(I11="Alta",M11="Leve"),AND(I11="Alta",M11="Menor")),"Moderado",IF(OR(AND(I11="Muy Baja",M11="Mayor"),AND(I11="Baja",M11="Mayor"),AND(I11="Media",M11="Mayor"),AND(I11="Alta",M11="Moderado"),AND(I11="Alta",M11="Mayor"),AND(I11="Muy Alta",M11="Leve"),AND(I11="Muy Alta",M11="Menor"),AND(I11="Muy Alta",M11="Moderado"),AND(I11="Muy Alta",M11="Mayor")),"Alto",IF(OR(AND(I11="Muy Baja",M11="Catastrófico"),AND(I11="Baja",M11="Catastrófico"),AND(I11="Media",M11="Catastrófico"),AND(I11="Alta",M11="Catastrófico"),AND(I11="Muy Alta",M11="Catastrófico")),"Extremo",""))))</f>
        <v>Bajo</v>
      </c>
      <c r="P11" s="119">
        <v>5</v>
      </c>
      <c r="Q11" s="136" t="s">
        <v>107</v>
      </c>
      <c r="R11" s="121" t="str">
        <f t="shared" ref="R11:R27" si="1">IF(OR(S11="Preventivo",S11="Detectivo"),"Probabilidad",IF(S11="Correctivo","Impacto",""))</f>
        <v>Probabilidad</v>
      </c>
      <c r="S11" s="122" t="s">
        <v>108</v>
      </c>
      <c r="T11" s="122" t="s">
        <v>109</v>
      </c>
      <c r="U11" s="123" t="str">
        <f t="shared" ref="U11:U27" si="2">IF(AND(S11="Preventivo",T11="Automático"),"50%",IF(AND(S11="Preventivo",T11="Manual"),"40%",IF(AND(S11="Detectivo",T11="Automático"),"40%",IF(AND(S11="Detectivo",T11="Manual"),"30%",IF(AND(S11="Correctivo",T11="Automático"),"35%",IF(AND(S11="Correctivo",T11="Manual"),"25%",""))))))</f>
        <v>40%</v>
      </c>
      <c r="V11" s="122" t="s">
        <v>110</v>
      </c>
      <c r="W11" s="122" t="s">
        <v>111</v>
      </c>
      <c r="X11" s="122" t="s">
        <v>112</v>
      </c>
      <c r="Y11" s="124">
        <f>IFERROR(IF(R11="Probabilidad",(J11-(+J11*U11)),IF(R11="Impacto",J11,"")),"")</f>
        <v>0.12</v>
      </c>
      <c r="Z11" s="125" t="str">
        <f>IFERROR(IF(Y11="","",IF(Y11&lt;=0.2,"Muy Baja",IF(Y11&lt;=0.4,"Baja",IF(Y11&lt;=0.6,"Media",IF(Y11&lt;=0.8,"Alta","Muy Alta"))))),"")</f>
        <v>Muy Baja</v>
      </c>
      <c r="AA11" s="123">
        <f>+Y11</f>
        <v>0.12</v>
      </c>
      <c r="AB11" s="125" t="str">
        <f>IFERROR(IF(AC11="","",IF(AC11&lt;=0.2,"Leve",IF(AC11&lt;=0.4,"Menor",IF(AC11&lt;=0.6,"Moderado",IF(AC11&lt;=0.8,"Mayor","Catastrófico"))))),"")</f>
        <v>Menor</v>
      </c>
      <c r="AC11" s="123">
        <f>IFERROR(IF(R11="Impacto",(N11-(+N11*U11)),IF(R11="Probabilidad",N11,"")),"")</f>
        <v>0.4</v>
      </c>
      <c r="AD11" s="126" t="str">
        <f>IFERROR(IF(OR(AND(Z11="Muy Baja",AB11="Leve"),AND(Z11="Muy Baja",AB11="Menor"),AND(Z11="Baja",AB11="Leve")),"Bajo",IF(OR(AND(Z11="Muy baja",AB11="Moderado"),AND(Z11="Baja",AB11="Menor"),AND(Z11="Baja",AB11="Moderado"),AND(Z11="Media",AB11="Leve"),AND(Z11="Media",AB11="Menor"),AND(Z11="Media",AB11="Moderado"),AND(Z11="Alta",AB11="Leve"),AND(Z11="Alta",AB11="Menor")),"Moderado",IF(OR(AND(Z11="Muy Baja",AB11="Mayor"),AND(Z11="Baja",AB11="Mayor"),AND(Z11="Media",AB11="Mayor"),AND(Z11="Alta",AB11="Moderado"),AND(Z11="Alta",AB11="Mayor"),AND(Z11="Muy Alta",AB11="Leve"),AND(Z11="Muy Alta",AB11="Menor"),AND(Z11="Muy Alta",AB11="Moderado"),AND(Z11="Muy Alta",AB11="Mayor")),"Alto",IF(OR(AND(Z11="Muy Baja",AB11="Catastrófico"),AND(Z11="Baja",AB11="Catastrófico"),AND(Z11="Media",AB11="Catastrófico"),AND(Z11="Alta",AB11="Catastrófico"),AND(Z11="Muy Alta",AB11="Catastrófico")),"Extremo","")))),"")</f>
        <v>Bajo</v>
      </c>
      <c r="AE11" s="122"/>
      <c r="AF11" s="136" t="s">
        <v>307</v>
      </c>
      <c r="AG11" s="117" t="s">
        <v>113</v>
      </c>
      <c r="AH11" s="127" t="s">
        <v>122</v>
      </c>
      <c r="AI11" s="118">
        <v>45656</v>
      </c>
      <c r="AJ11" s="118" t="s">
        <v>114</v>
      </c>
      <c r="AK11" s="116" t="s">
        <v>298</v>
      </c>
      <c r="AL11" s="141" t="s">
        <v>329</v>
      </c>
      <c r="AM11" s="142" t="s">
        <v>353</v>
      </c>
      <c r="AN11" s="141" t="s">
        <v>329</v>
      </c>
      <c r="AO11" s="142" t="s">
        <v>331</v>
      </c>
      <c r="AP11" s="141" t="s">
        <v>329</v>
      </c>
      <c r="AQ11" s="142" t="s">
        <v>331</v>
      </c>
      <c r="AR11" s="141" t="s">
        <v>329</v>
      </c>
      <c r="AS11" s="142" t="s">
        <v>331</v>
      </c>
      <c r="AT11" s="162" t="s">
        <v>382</v>
      </c>
      <c r="AU11" s="138"/>
      <c r="AV11" s="138"/>
      <c r="AW11" s="51"/>
      <c r="AX11" s="51"/>
      <c r="AY11" s="51"/>
      <c r="AZ11" s="51"/>
      <c r="BA11" s="51"/>
      <c r="BB11" s="51"/>
      <c r="BC11" s="51"/>
      <c r="BD11" s="51"/>
      <c r="BE11" s="51"/>
      <c r="BF11" s="51"/>
      <c r="BG11" s="51"/>
      <c r="BH11" s="51"/>
      <c r="BI11" s="51"/>
      <c r="BJ11" s="51"/>
      <c r="BK11" s="51"/>
      <c r="BL11" s="51"/>
      <c r="BM11" s="51"/>
      <c r="BN11" s="51"/>
      <c r="BO11" s="51"/>
      <c r="BP11" s="51"/>
      <c r="BQ11" s="51"/>
      <c r="BR11" s="51"/>
    </row>
    <row r="12" spans="1:71" ht="100.2" customHeight="1" x14ac:dyDescent="0.25">
      <c r="A12" s="119">
        <v>2</v>
      </c>
      <c r="B12" s="222"/>
      <c r="C12" s="120" t="s">
        <v>116</v>
      </c>
      <c r="D12" s="120" t="s">
        <v>117</v>
      </c>
      <c r="E12" s="120" t="s">
        <v>118</v>
      </c>
      <c r="F12" s="134" t="s">
        <v>119</v>
      </c>
      <c r="G12" s="117" t="s">
        <v>105</v>
      </c>
      <c r="H12" s="116">
        <v>20</v>
      </c>
      <c r="I12" s="128" t="str">
        <f t="shared" ref="I12:I19" si="3">IF(H12&lt;=0,"",IF(H12&lt;=2,"Muy Baja",IF(H12&lt;=24,"Baja",IF(H12&lt;=500,"Media",IF(H12&lt;=5000,"Alta","Muy Alta")))))</f>
        <v>Baja</v>
      </c>
      <c r="J12" s="129">
        <f t="shared" ref="J12:J19" si="4">IF(I12="","",IF(I12="Muy Baja",0.2,IF(I12="Baja",0.4,IF(I12="Media",0.6,IF(I12="Alta",0.8,IF(I12="Muy Alta",1,))))))</f>
        <v>0.4</v>
      </c>
      <c r="K12" s="131" t="s">
        <v>106</v>
      </c>
      <c r="L12" s="129" t="str">
        <f>IF(NOT(ISERROR(MATCH(K12,_xlfn.ANCHORARRAY(F20),0))),J22&amp;"Por favor no seleccionar los criterios de impacto",K12)</f>
        <v xml:space="preserve">     El riesgo afecta la imagen de la entidad internamente, de conocimiento general, nivel interno, de junta dircetiva y accionistas y/o de provedores</v>
      </c>
      <c r="M12" s="128" t="str">
        <f>IF(OR(L12='Tabla Impacto'!$C$11,L12='Tabla Impacto'!$D$11),"Leve",IF(OR(L12='Tabla Impacto'!$C$12,L12='Tabla Impacto'!$D$12),"Menor",IF(OR(L12='Tabla Impacto'!$C$13,L12='Tabla Impacto'!$D$13),"Moderado",IF(OR(L12='Tabla Impacto'!$C$14,L12='Tabla Impacto'!$D$14),"Mayor",IF(OR(L12='Tabla Impacto'!$C$15,L12='Tabla Impacto'!$D$15),"Catastrófico","")))))</f>
        <v>Menor</v>
      </c>
      <c r="N12" s="129">
        <f t="shared" ref="N12:N19" si="5">IF(M12="","",IF(M12="Leve",0.2,IF(M12="Menor",0.4,IF(M12="Moderado",0.6,IF(M12="Mayor",0.8,IF(M12="Catastrófico",1,))))))</f>
        <v>0.4</v>
      </c>
      <c r="O12" s="132" t="str">
        <f t="shared" ref="O12:O13" si="6">IF(OR(AND(I12="Muy Baja",M12="Leve"),AND(I12="Muy Baja",M12="Menor"),AND(I12="Baja",M12="Leve")),"Bajo",IF(OR(AND(I12="Muy baja",M12="Moderado"),AND(I12="Baja",M12="Menor"),AND(I12="Baja",M12="Moderado"),AND(I12="Media",M12="Leve"),AND(I12="Media",M12="Menor"),AND(I12="Media",M12="Moderado"),AND(I12="Alta",M12="Leve"),AND(I12="Alta",M12="Menor")),"Moderado",IF(OR(AND(I12="Muy Baja",M12="Mayor"),AND(I12="Baja",M12="Mayor"),AND(I12="Media",M12="Mayor"),AND(I12="Alta",M12="Moderado"),AND(I12="Alta",M12="Mayor"),AND(I12="Muy Alta",M12="Leve"),AND(I12="Muy Alta",M12="Menor"),AND(I12="Muy Alta",M12="Moderado"),AND(I12="Muy Alta",M12="Mayor")),"Alto",IF(OR(AND(I12="Muy Baja",M12="Catastrófico"),AND(I12="Baja",M12="Catastrófico"),AND(I12="Media",M12="Catastrófico"),AND(I12="Alta",M12="Catastrófico"),AND(I12="Muy Alta",M12="Catastrófico")),"Extremo",""))))</f>
        <v>Moderado</v>
      </c>
      <c r="P12" s="119">
        <v>1</v>
      </c>
      <c r="Q12" s="136" t="s">
        <v>120</v>
      </c>
      <c r="R12" s="121" t="str">
        <f t="shared" si="1"/>
        <v>Probabilidad</v>
      </c>
      <c r="S12" s="122" t="s">
        <v>108</v>
      </c>
      <c r="T12" s="122" t="s">
        <v>109</v>
      </c>
      <c r="U12" s="123" t="str">
        <f t="shared" si="2"/>
        <v>40%</v>
      </c>
      <c r="V12" s="122" t="s">
        <v>110</v>
      </c>
      <c r="W12" s="122" t="s">
        <v>111</v>
      </c>
      <c r="X12" s="122" t="s">
        <v>112</v>
      </c>
      <c r="Y12" s="124">
        <f>IFERROR(IF(AND(R11="Probabilidad",R12="Probabilidad"),(AA11-(+AA11*U12)),IF(R12="Probabilidad",(J11-(+J11*U12)),IF(R12="Impacto",AA11,""))),"")</f>
        <v>7.1999999999999995E-2</v>
      </c>
      <c r="Z12" s="125" t="str">
        <f t="shared" ref="Z12:Z15" si="7">IFERROR(IF(Y12="","",IF(Y12&lt;=0.2,"Muy Baja",IF(Y12&lt;=0.4,"Baja",IF(Y12&lt;=0.6,"Media",IF(Y12&lt;=0.8,"Alta","Muy Alta"))))),"")</f>
        <v>Muy Baja</v>
      </c>
      <c r="AA12" s="123">
        <f t="shared" ref="AA12:AA15" si="8">+Y12</f>
        <v>7.1999999999999995E-2</v>
      </c>
      <c r="AB12" s="125" t="str">
        <f t="shared" ref="AB12:AB15" si="9">IFERROR(IF(AC12="","",IF(AC12&lt;=0.2,"Leve",IF(AC12&lt;=0.4,"Menor",IF(AC12&lt;=0.6,"Moderado",IF(AC12&lt;=0.8,"Mayor","Catastrófico"))))),"")</f>
        <v>Menor</v>
      </c>
      <c r="AC12" s="123">
        <f>IFERROR(IF(AND(R11="Impacto",R12="Impacto"),(AC11-(+AC11*U12)),IF(R12="Impacto",(N11-(+N11*U12)),IF(R12="Probabilidad",AC11,""))),"")</f>
        <v>0.4</v>
      </c>
      <c r="AD12" s="126" t="str">
        <f t="shared" ref="AD12:AD15" si="10">IFERROR(IF(OR(AND(Z12="Muy Baja",AB12="Leve"),AND(Z12="Muy Baja",AB12="Menor"),AND(Z12="Baja",AB12="Leve")),"Bajo",IF(OR(AND(Z12="Muy baja",AB12="Moderado"),AND(Z12="Baja",AB12="Menor"),AND(Z12="Baja",AB12="Moderado"),AND(Z12="Media",AB12="Leve"),AND(Z12="Media",AB12="Menor"),AND(Z12="Media",AB12="Moderado"),AND(Z12="Alta",AB12="Leve"),AND(Z12="Alta",AB12="Menor")),"Moderado",IF(OR(AND(Z12="Muy Baja",AB12="Mayor"),AND(Z12="Baja",AB12="Mayor"),AND(Z12="Media",AB12="Mayor"),AND(Z12="Alta",AB12="Moderado"),AND(Z12="Alta",AB12="Mayor"),AND(Z12="Muy Alta",AB12="Leve"),AND(Z12="Muy Alta",AB12="Menor"),AND(Z12="Muy Alta",AB12="Moderado"),AND(Z12="Muy Alta",AB12="Mayor")),"Alto",IF(OR(AND(Z12="Muy Baja",AB12="Catastrófico"),AND(Z12="Baja",AB12="Catastrófico"),AND(Z12="Media",AB12="Catastrófico"),AND(Z12="Alta",AB12="Catastrófico"),AND(Z12="Muy Alta",AB12="Catastrófico")),"Extremo","")))),"")</f>
        <v>Bajo</v>
      </c>
      <c r="AE12" s="122"/>
      <c r="AF12" s="136" t="s">
        <v>121</v>
      </c>
      <c r="AG12" s="117" t="s">
        <v>113</v>
      </c>
      <c r="AH12" s="127" t="s">
        <v>122</v>
      </c>
      <c r="AI12" s="118">
        <v>45656</v>
      </c>
      <c r="AJ12" s="117" t="s">
        <v>123</v>
      </c>
      <c r="AK12" s="116" t="s">
        <v>298</v>
      </c>
      <c r="AL12" s="139"/>
      <c r="AM12" s="142" t="s">
        <v>354</v>
      </c>
      <c r="AN12" s="139"/>
      <c r="AO12" s="142" t="s">
        <v>354</v>
      </c>
      <c r="AP12" s="139"/>
      <c r="AQ12" s="142" t="s">
        <v>354</v>
      </c>
      <c r="AR12" s="139"/>
      <c r="AS12" s="142" t="s">
        <v>354</v>
      </c>
      <c r="AT12" s="162" t="s">
        <v>382</v>
      </c>
      <c r="AU12" s="139"/>
      <c r="AV12" s="139"/>
      <c r="AW12" s="50"/>
      <c r="AX12" s="50"/>
      <c r="AY12" s="50"/>
      <c r="AZ12" s="50"/>
      <c r="BA12" s="50"/>
      <c r="BB12" s="50"/>
      <c r="BC12" s="50"/>
      <c r="BD12" s="50"/>
      <c r="BE12" s="50"/>
      <c r="BF12" s="50"/>
      <c r="BG12" s="50"/>
      <c r="BH12" s="50"/>
      <c r="BI12" s="50"/>
      <c r="BJ12" s="50"/>
      <c r="BK12" s="50"/>
      <c r="BL12" s="50"/>
      <c r="BM12" s="50"/>
      <c r="BN12" s="50"/>
      <c r="BO12" s="50"/>
      <c r="BP12" s="50"/>
      <c r="BQ12" s="50"/>
      <c r="BR12" s="50"/>
      <c r="BS12" s="50"/>
    </row>
    <row r="13" spans="1:71" ht="100.2" customHeight="1" x14ac:dyDescent="0.25">
      <c r="A13" s="119">
        <v>3</v>
      </c>
      <c r="B13" s="222"/>
      <c r="C13" s="117" t="s">
        <v>101</v>
      </c>
      <c r="D13" s="120" t="s">
        <v>124</v>
      </c>
      <c r="E13" s="120" t="s">
        <v>125</v>
      </c>
      <c r="F13" s="134" t="s">
        <v>314</v>
      </c>
      <c r="G13" s="117" t="s">
        <v>126</v>
      </c>
      <c r="H13" s="116">
        <v>48</v>
      </c>
      <c r="I13" s="128" t="str">
        <f t="shared" si="3"/>
        <v>Media</v>
      </c>
      <c r="J13" s="129">
        <f t="shared" si="4"/>
        <v>0.6</v>
      </c>
      <c r="K13" s="131" t="s">
        <v>106</v>
      </c>
      <c r="L13" s="129" t="str">
        <f>IF(NOT(ISERROR(MATCH(K13,_xlfn.ANCHORARRAY(F21),0))),J23&amp;"Por favor no seleccionar los criterios de impacto",K13)</f>
        <v xml:space="preserve">     El riesgo afecta la imagen de la entidad internamente, de conocimiento general, nivel interno, de junta dircetiva y accionistas y/o de provedores</v>
      </c>
      <c r="M13" s="128" t="str">
        <f>IF(OR(L13='Tabla Impacto'!$C$11,L13='Tabla Impacto'!$D$11),"Leve",IF(OR(L13='Tabla Impacto'!$C$12,L13='Tabla Impacto'!$D$12),"Menor",IF(OR(L13='Tabla Impacto'!$C$13,L13='Tabla Impacto'!$D$13),"Moderado",IF(OR(L13='Tabla Impacto'!$C$14,L13='Tabla Impacto'!$D$14),"Mayor",IF(OR(L13='Tabla Impacto'!$C$15,L13='Tabla Impacto'!$D$15),"Catastrófico","")))))</f>
        <v>Menor</v>
      </c>
      <c r="N13" s="129">
        <f t="shared" si="5"/>
        <v>0.4</v>
      </c>
      <c r="O13" s="132" t="str">
        <f t="shared" si="6"/>
        <v>Moderado</v>
      </c>
      <c r="P13" s="119">
        <v>1</v>
      </c>
      <c r="Q13" s="136" t="s">
        <v>127</v>
      </c>
      <c r="R13" s="121" t="str">
        <f t="shared" si="1"/>
        <v>Probabilidad</v>
      </c>
      <c r="S13" s="122" t="s">
        <v>108</v>
      </c>
      <c r="T13" s="122" t="s">
        <v>109</v>
      </c>
      <c r="U13" s="123" t="str">
        <f t="shared" si="2"/>
        <v>40%</v>
      </c>
      <c r="V13" s="122" t="s">
        <v>110</v>
      </c>
      <c r="W13" s="122" t="s">
        <v>111</v>
      </c>
      <c r="X13" s="122" t="s">
        <v>112</v>
      </c>
      <c r="Y13" s="124">
        <f>IFERROR(IF(AND(R12="Probabilidad",R13="Probabilidad"),(AA12-(+AA12*U13)),IF(R13="Probabilidad",(J12-(+J12*U13)),IF(R13="Impacto",AA12,""))),"")</f>
        <v>4.3199999999999995E-2</v>
      </c>
      <c r="Z13" s="125" t="str">
        <f t="shared" ref="Z13" si="11">IFERROR(IF(Y13="","",IF(Y13&lt;=0.2,"Muy Baja",IF(Y13&lt;=0.4,"Baja",IF(Y13&lt;=0.6,"Media",IF(Y13&lt;=0.8,"Alta","Muy Alta"))))),"")</f>
        <v>Muy Baja</v>
      </c>
      <c r="AA13" s="123">
        <f t="shared" ref="AA13" si="12">+Y13</f>
        <v>4.3199999999999995E-2</v>
      </c>
      <c r="AB13" s="125" t="str">
        <f t="shared" ref="AB13" si="13">IFERROR(IF(AC13="","",IF(AC13&lt;=0.2,"Leve",IF(AC13&lt;=0.4,"Menor",IF(AC13&lt;=0.6,"Moderado",IF(AC13&lt;=0.8,"Mayor","Catastrófico"))))),"")</f>
        <v>Menor</v>
      </c>
      <c r="AC13" s="123">
        <f>IFERROR(IF(AND(R12="Impacto",R13="Impacto"),(AC12-(+AC12*U13)),IF(R13="Impacto",(N12-(+N12*U13)),IF(R13="Probabilidad",AC12,""))),"")</f>
        <v>0.4</v>
      </c>
      <c r="AD13" s="126" t="str">
        <f t="shared" ref="AD13" si="14">IFERROR(IF(OR(AND(Z13="Muy Baja",AB13="Leve"),AND(Z13="Muy Baja",AB13="Menor"),AND(Z13="Baja",AB13="Leve")),"Bajo",IF(OR(AND(Z13="Muy baja",AB13="Moderado"),AND(Z13="Baja",AB13="Menor"),AND(Z13="Baja",AB13="Moderado"),AND(Z13="Media",AB13="Leve"),AND(Z13="Media",AB13="Menor"),AND(Z13="Media",AB13="Moderado"),AND(Z13="Alta",AB13="Leve"),AND(Z13="Alta",AB13="Menor")),"Moderado",IF(OR(AND(Z13="Muy Baja",AB13="Mayor"),AND(Z13="Baja",AB13="Mayor"),AND(Z13="Media",AB13="Mayor"),AND(Z13="Alta",AB13="Moderado"),AND(Z13="Alta",AB13="Mayor"),AND(Z13="Muy Alta",AB13="Leve"),AND(Z13="Muy Alta",AB13="Menor"),AND(Z13="Muy Alta",AB13="Moderado"),AND(Z13="Muy Alta",AB13="Mayor")),"Alto",IF(OR(AND(Z13="Muy Baja",AB13="Catastrófico"),AND(Z13="Baja",AB13="Catastrófico"),AND(Z13="Media",AB13="Catastrófico"),AND(Z13="Alta",AB13="Catastrófico"),AND(Z13="Muy Alta",AB13="Catastrófico")),"Extremo","")))),"")</f>
        <v>Bajo</v>
      </c>
      <c r="AE13" s="122"/>
      <c r="AF13" s="136" t="s">
        <v>128</v>
      </c>
      <c r="AG13" s="117" t="s">
        <v>113</v>
      </c>
      <c r="AH13" s="127" t="s">
        <v>122</v>
      </c>
      <c r="AI13" s="118">
        <v>45656</v>
      </c>
      <c r="AJ13" s="117" t="s">
        <v>129</v>
      </c>
      <c r="AK13" s="116" t="s">
        <v>298</v>
      </c>
      <c r="AL13" s="141" t="s">
        <v>329</v>
      </c>
      <c r="AM13" s="142" t="s">
        <v>332</v>
      </c>
      <c r="AN13" s="141" t="s">
        <v>329</v>
      </c>
      <c r="AO13" s="173" t="s">
        <v>355</v>
      </c>
      <c r="AP13" s="141" t="s">
        <v>329</v>
      </c>
      <c r="AQ13" s="173" t="s">
        <v>356</v>
      </c>
      <c r="AR13" s="141" t="s">
        <v>329</v>
      </c>
      <c r="AS13" s="173" t="s">
        <v>356</v>
      </c>
      <c r="AT13" s="162" t="s">
        <v>382</v>
      </c>
      <c r="AU13" s="139"/>
      <c r="AV13" s="139"/>
      <c r="AW13" s="50"/>
      <c r="AX13" s="50"/>
      <c r="AY13" s="50"/>
      <c r="AZ13" s="50"/>
      <c r="BA13" s="50"/>
      <c r="BB13" s="50"/>
      <c r="BC13" s="50"/>
      <c r="BD13" s="50"/>
      <c r="BE13" s="50"/>
      <c r="BF13" s="50"/>
      <c r="BG13" s="50"/>
      <c r="BH13" s="50"/>
      <c r="BI13" s="50"/>
      <c r="BJ13" s="50"/>
      <c r="BK13" s="50"/>
      <c r="BL13" s="50"/>
      <c r="BM13" s="50"/>
      <c r="BN13" s="50"/>
      <c r="BO13" s="50"/>
      <c r="BP13" s="50"/>
      <c r="BQ13" s="50"/>
      <c r="BR13" s="50"/>
      <c r="BS13" s="50"/>
    </row>
    <row r="14" spans="1:71" ht="132" customHeight="1" x14ac:dyDescent="0.3">
      <c r="A14" s="117">
        <v>4</v>
      </c>
      <c r="B14" s="120" t="s">
        <v>130</v>
      </c>
      <c r="C14" s="120" t="s">
        <v>101</v>
      </c>
      <c r="D14" s="134" t="s">
        <v>131</v>
      </c>
      <c r="E14" s="117" t="s">
        <v>132</v>
      </c>
      <c r="F14" s="120" t="s">
        <v>315</v>
      </c>
      <c r="G14" s="120" t="s">
        <v>105</v>
      </c>
      <c r="H14" s="134">
        <v>12</v>
      </c>
      <c r="I14" s="152" t="str">
        <f t="shared" si="3"/>
        <v>Baja</v>
      </c>
      <c r="J14" s="129">
        <f t="shared" si="4"/>
        <v>0.4</v>
      </c>
      <c r="K14" s="131" t="s">
        <v>133</v>
      </c>
      <c r="L14" s="129" t="str">
        <f t="shared" ref="L14:L17" si="15">IF(NOT(ISERROR(MATCH(K14,_xlfn.ANCHORARRAY(F22),0))),J24&amp;"Por favor no seleccionar los criterios de impacto",K14)</f>
        <v xml:space="preserve">     El riesgo afecta la imagen de la entidad con algunos usuarios de relevancia frente al logro de los objetivos</v>
      </c>
      <c r="M14" s="152" t="str">
        <f>IF(OR(L14='Tabla Impacto'!$C$11,L14='Tabla Impacto'!$D$11),"Leve",IF(OR(L14='Tabla Impacto'!$C$12,L14='Tabla Impacto'!$D$12),"Menor",IF(OR(L14='Tabla Impacto'!$C$13,L14='Tabla Impacto'!$D$13),"Moderado",IF(OR(L14='Tabla Impacto'!$C$14,L14='Tabla Impacto'!$D$14),"Mayor",IF(OR(L14='Tabla Impacto'!$C$15,L14='Tabla Impacto'!$D$15),"Catastrófico","")))))</f>
        <v>Moderado</v>
      </c>
      <c r="N14" s="129">
        <f t="shared" si="5"/>
        <v>0.6</v>
      </c>
      <c r="O14" s="153" t="str">
        <f t="shared" ref="O14" si="16">IF(OR(AND(I14="Muy Baja",M14="Leve"),AND(I14="Muy Baja",M14="Menor"),AND(I14="Baja",M14="Leve")),"Bajo",IF(OR(AND(I14="Muy baja",M14="Moderado"),AND(I14="Baja",M14="Menor"),AND(I14="Baja",M14="Moderado"),AND(I14="Media",M14="Leve"),AND(I14="Media",M14="Menor"),AND(I14="Media",M14="Moderado"),AND(I14="Alta",M14="Leve"),AND(I14="Alta",M14="Menor")),"Moderado",IF(OR(AND(I14="Muy Baja",M14="Mayor"),AND(I14="Baja",M14="Mayor"),AND(I14="Media",M14="Mayor"),AND(I14="Alta",M14="Moderado"),AND(I14="Alta",M14="Mayor"),AND(I14="Muy Alta",M14="Leve"),AND(I14="Muy Alta",M14="Menor"),AND(I14="Muy Alta",M14="Moderado"),AND(I14="Muy Alta",M14="Mayor")),"Alto",IF(OR(AND(I14="Muy Baja",M14="Catastrófico"),AND(I14="Baja",M14="Catastrófico"),AND(I14="Media",M14="Catastrófico"),AND(I14="Alta",M14="Catastrófico"),AND(I14="Muy Alta",M14="Catastrófico")),"Extremo",""))))</f>
        <v>Moderado</v>
      </c>
      <c r="P14" s="119">
        <v>2</v>
      </c>
      <c r="Q14" s="136" t="s">
        <v>134</v>
      </c>
      <c r="R14" s="121" t="str">
        <f t="shared" si="1"/>
        <v>Probabilidad</v>
      </c>
      <c r="S14" s="122" t="s">
        <v>108</v>
      </c>
      <c r="T14" s="122" t="s">
        <v>109</v>
      </c>
      <c r="U14" s="123" t="str">
        <f t="shared" si="2"/>
        <v>40%</v>
      </c>
      <c r="V14" s="122" t="s">
        <v>110</v>
      </c>
      <c r="W14" s="122" t="s">
        <v>111</v>
      </c>
      <c r="X14" s="122" t="s">
        <v>112</v>
      </c>
      <c r="Y14" s="154">
        <f>IFERROR(IF(AND(R13="Probabilidad",R14="Probabilidad"),(AA13-(+AA13*U14)),IF(AND(R13="Impacto",R14="Probabilidad"),(AA12-(+AA12*U14)),IF(R14="Impacto",AA13,""))),"")</f>
        <v>2.5919999999999995E-2</v>
      </c>
      <c r="Z14" s="155" t="str">
        <f t="shared" si="7"/>
        <v>Muy Baja</v>
      </c>
      <c r="AA14" s="123">
        <f t="shared" si="8"/>
        <v>2.5919999999999995E-2</v>
      </c>
      <c r="AB14" s="155" t="str">
        <f t="shared" si="9"/>
        <v>Menor</v>
      </c>
      <c r="AC14" s="123">
        <f>IFERROR(IF(AND(R13="Impacto",R14="Impacto"),(AC13-(+AC13*U14)),IF(AND(R13="Probabilidad",R14="Impacto"),(AC12-(+AC12*U14)),IF(R14="Probabilidad",AC13,""))),"")</f>
        <v>0.4</v>
      </c>
      <c r="AD14" s="156" t="str">
        <f>IFERROR(IF(OR(AND(Z14="Muy Baja",AB14="Leve"),AND(Z14="Muy Baja",AB14="Menor"),AND(Z14="Baja",AB14="Leve")),"Bajo",IF(OR(AND(Z14="Muy baja",AB14="Moderado"),AND(Z14="Baja",AB14="Menor"),AND(Z14="Baja",AB14="Moderado"),AND(Z14="Media",AB14="Leve"),AND(Z14="Media",AB14="Menor"),AND(Z14="Media",AB14="Moderado"),AND(Z14="Alta",AB14="Leve"),AND(Z14="Alta",AB14="Menor")),"Moderado",IF(OR(AND(Z14="Muy Baja",AB14="Mayor"),AND(Z14="Baja",AB14="Mayor"),AND(Z14="Media",AB14="Mayor"),AND(Z14="Alta",AB14="Moderado"),AND(Z14="Alta",AB14="Mayor"),AND(Z14="Muy Alta",AB14="Leve"),AND(Z14="Muy Alta",AB14="Menor"),AND(Z14="Muy Alta",AB14="Moderado"),AND(Z14="Muy Alta",AB14="Mayor")),"Alto",IF(OR(AND(Z14="Muy Baja",AB14="Catastrófico"),AND(Z14="Baja",AB14="Catastrófico"),AND(Z14="Media",AB14="Catastrófico"),AND(Z14="Alta",AB14="Catastrófico"),AND(Z14="Muy Alta",AB14="Catastrófico")),"Extremo","")))),"")</f>
        <v>Bajo</v>
      </c>
      <c r="AE14" s="122"/>
      <c r="AF14" s="136" t="s">
        <v>308</v>
      </c>
      <c r="AG14" s="117" t="s">
        <v>113</v>
      </c>
      <c r="AH14" s="127" t="s">
        <v>122</v>
      </c>
      <c r="AI14" s="118">
        <v>45656</v>
      </c>
      <c r="AJ14" s="117" t="s">
        <v>129</v>
      </c>
      <c r="AK14" s="116" t="s">
        <v>298</v>
      </c>
      <c r="AL14" s="164" t="s">
        <v>328</v>
      </c>
      <c r="AM14" s="173" t="s">
        <v>362</v>
      </c>
      <c r="AN14" s="141" t="s">
        <v>328</v>
      </c>
      <c r="AO14" s="140" t="s">
        <v>327</v>
      </c>
      <c r="AP14" s="167" t="s">
        <v>365</v>
      </c>
      <c r="AQ14" s="145" t="s">
        <v>363</v>
      </c>
      <c r="AR14" s="166" t="s">
        <v>366</v>
      </c>
      <c r="AS14" s="145" t="s">
        <v>364</v>
      </c>
      <c r="AT14" s="162" t="s">
        <v>382</v>
      </c>
      <c r="AU14" s="139"/>
      <c r="AV14" s="139"/>
      <c r="AW14" s="50"/>
      <c r="AX14" s="50"/>
      <c r="AY14" s="50"/>
      <c r="AZ14" s="50"/>
      <c r="BA14" s="50"/>
      <c r="BB14" s="50"/>
      <c r="BC14" s="50"/>
      <c r="BD14" s="50"/>
      <c r="BE14" s="50"/>
      <c r="BF14" s="50"/>
      <c r="BG14" s="50"/>
      <c r="BH14" s="50"/>
      <c r="BI14" s="50"/>
      <c r="BJ14" s="50"/>
      <c r="BK14" s="50"/>
      <c r="BL14" s="50"/>
      <c r="BM14" s="50"/>
      <c r="BN14" s="50"/>
      <c r="BO14" s="50"/>
      <c r="BP14" s="50"/>
      <c r="BQ14" s="50"/>
      <c r="BR14" s="50"/>
      <c r="BS14" s="50"/>
    </row>
    <row r="15" spans="1:71" ht="100.2" customHeight="1" x14ac:dyDescent="0.25">
      <c r="A15" s="119">
        <v>5</v>
      </c>
      <c r="B15" s="120" t="s">
        <v>135</v>
      </c>
      <c r="C15" s="117" t="s">
        <v>101</v>
      </c>
      <c r="D15" s="117" t="s">
        <v>136</v>
      </c>
      <c r="E15" s="117" t="s">
        <v>137</v>
      </c>
      <c r="F15" s="120" t="s">
        <v>316</v>
      </c>
      <c r="G15" s="117" t="s">
        <v>126</v>
      </c>
      <c r="H15" s="116">
        <v>12</v>
      </c>
      <c r="I15" s="128" t="str">
        <f t="shared" si="3"/>
        <v>Baja</v>
      </c>
      <c r="J15" s="129">
        <f t="shared" si="4"/>
        <v>0.4</v>
      </c>
      <c r="K15" s="131" t="s">
        <v>106</v>
      </c>
      <c r="L15" s="129" t="str">
        <f t="shared" si="15"/>
        <v xml:space="preserve">     El riesgo afecta la imagen de la entidad internamente, de conocimiento general, nivel interno, de junta dircetiva y accionistas y/o de provedores</v>
      </c>
      <c r="M15" s="128" t="str">
        <f>IF(OR(L15='Tabla Impacto'!$C$11,L15='Tabla Impacto'!$D$11),"Leve",IF(OR(L15='Tabla Impacto'!$C$12,L15='Tabla Impacto'!$D$12),"Menor",IF(OR(L15='Tabla Impacto'!$C$13,L15='Tabla Impacto'!$D$13),"Moderado",IF(OR(L15='Tabla Impacto'!$C$14,L15='Tabla Impacto'!$D$14),"Mayor",IF(OR(L15='Tabla Impacto'!$C$15,L15='Tabla Impacto'!$D$15),"Catastrófico","")))))</f>
        <v>Menor</v>
      </c>
      <c r="N15" s="129">
        <f t="shared" si="5"/>
        <v>0.4</v>
      </c>
      <c r="O15" s="132" t="str">
        <f t="shared" ref="O15" si="17">IF(OR(AND(I15="Muy Baja",M15="Leve"),AND(I15="Muy Baja",M15="Menor"),AND(I15="Baja",M15="Leve")),"Bajo",IF(OR(AND(I15="Muy baja",M15="Moderado"),AND(I15="Baja",M15="Menor"),AND(I15="Baja",M15="Moderado"),AND(I15="Media",M15="Leve"),AND(I15="Media",M15="Menor"),AND(I15="Media",M15="Moderado"),AND(I15="Alta",M15="Leve"),AND(I15="Alta",M15="Menor")),"Moderado",IF(OR(AND(I15="Muy Baja",M15="Mayor"),AND(I15="Baja",M15="Mayor"),AND(I15="Media",M15="Mayor"),AND(I15="Alta",M15="Moderado"),AND(I15="Alta",M15="Mayor"),AND(I15="Muy Alta",M15="Leve"),AND(I15="Muy Alta",M15="Menor"),AND(I15="Muy Alta",M15="Moderado"),AND(I15="Muy Alta",M15="Mayor")),"Alto",IF(OR(AND(I15="Muy Baja",M15="Catastrófico"),AND(I15="Baja",M15="Catastrófico"),AND(I15="Media",M15="Catastrófico"),AND(I15="Alta",M15="Catastrófico"),AND(I15="Muy Alta",M15="Catastrófico")),"Extremo",""))))</f>
        <v>Moderado</v>
      </c>
      <c r="P15" s="119">
        <v>1</v>
      </c>
      <c r="Q15" s="136" t="s">
        <v>138</v>
      </c>
      <c r="R15" s="121" t="str">
        <f t="shared" si="1"/>
        <v>Probabilidad</v>
      </c>
      <c r="S15" s="122" t="s">
        <v>108</v>
      </c>
      <c r="T15" s="122" t="s">
        <v>109</v>
      </c>
      <c r="U15" s="123" t="str">
        <f t="shared" si="2"/>
        <v>40%</v>
      </c>
      <c r="V15" s="122" t="s">
        <v>110</v>
      </c>
      <c r="W15" s="122" t="s">
        <v>111</v>
      </c>
      <c r="X15" s="122" t="s">
        <v>112</v>
      </c>
      <c r="Y15" s="124">
        <f>IFERROR(IF(AND(R14="Probabilidad",R15="Probabilidad"),(AA14-(+AA14*U15)),IF(AND(R14="Impacto",R15="Probabilidad"),(AA13-(+AA13*U15)),IF(R15="Impacto",AA14,""))),"")</f>
        <v>1.5551999999999996E-2</v>
      </c>
      <c r="Z15" s="125" t="str">
        <f t="shared" si="7"/>
        <v>Muy Baja</v>
      </c>
      <c r="AA15" s="123">
        <f t="shared" si="8"/>
        <v>1.5551999999999996E-2</v>
      </c>
      <c r="AB15" s="125" t="str">
        <f t="shared" si="9"/>
        <v>Menor</v>
      </c>
      <c r="AC15" s="123">
        <f>IFERROR(IF(AND(R14="Impacto",R15="Impacto"),(AC14-(+AC14*U15)),IF(AND(R14="Probabilidad",R15="Impacto"),(AC13-(+AC13*U15)),IF(R15="Probabilidad",AC14,""))),"")</f>
        <v>0.4</v>
      </c>
      <c r="AD15" s="126" t="str">
        <f t="shared" si="10"/>
        <v>Bajo</v>
      </c>
      <c r="AE15" s="122"/>
      <c r="AF15" s="136" t="s">
        <v>139</v>
      </c>
      <c r="AG15" s="117" t="s">
        <v>113</v>
      </c>
      <c r="AH15" s="127" t="s">
        <v>122</v>
      </c>
      <c r="AI15" s="118">
        <v>45656</v>
      </c>
      <c r="AJ15" s="117" t="s">
        <v>123</v>
      </c>
      <c r="AK15" s="116" t="s">
        <v>298</v>
      </c>
      <c r="AL15" s="139"/>
      <c r="AM15" s="139"/>
      <c r="AN15" s="141" t="s">
        <v>335</v>
      </c>
      <c r="AO15" s="142" t="s">
        <v>334</v>
      </c>
      <c r="AP15" s="141" t="s">
        <v>335</v>
      </c>
      <c r="AQ15" s="142" t="s">
        <v>334</v>
      </c>
      <c r="AR15" s="165" t="s">
        <v>335</v>
      </c>
      <c r="AS15" s="142" t="s">
        <v>334</v>
      </c>
      <c r="AT15" s="162" t="s">
        <v>382</v>
      </c>
      <c r="AU15" s="142"/>
      <c r="AV15" s="139"/>
      <c r="AW15" s="50"/>
      <c r="AX15" s="50"/>
      <c r="AY15" s="50"/>
      <c r="AZ15" s="50"/>
      <c r="BA15" s="50"/>
      <c r="BB15" s="50"/>
      <c r="BC15" s="50"/>
      <c r="BD15" s="50"/>
      <c r="BE15" s="50"/>
      <c r="BF15" s="50"/>
      <c r="BG15" s="50"/>
      <c r="BH15" s="50"/>
      <c r="BI15" s="50"/>
      <c r="BJ15" s="50"/>
      <c r="BK15" s="50"/>
      <c r="BL15" s="50"/>
      <c r="BM15" s="50"/>
      <c r="BN15" s="50"/>
      <c r="BO15" s="50"/>
      <c r="BP15" s="50"/>
      <c r="BQ15" s="50"/>
      <c r="BR15" s="50"/>
      <c r="BS15" s="50"/>
    </row>
    <row r="16" spans="1:71" ht="100.2" customHeight="1" x14ac:dyDescent="0.25">
      <c r="A16" s="119">
        <v>6</v>
      </c>
      <c r="B16" s="119" t="s">
        <v>140</v>
      </c>
      <c r="C16" s="117" t="s">
        <v>116</v>
      </c>
      <c r="D16" s="117" t="s">
        <v>103</v>
      </c>
      <c r="E16" s="117" t="s">
        <v>141</v>
      </c>
      <c r="F16" s="120" t="s">
        <v>142</v>
      </c>
      <c r="G16" s="117" t="s">
        <v>126</v>
      </c>
      <c r="H16" s="116">
        <v>1</v>
      </c>
      <c r="I16" s="128" t="str">
        <f t="shared" si="3"/>
        <v>Muy Baja</v>
      </c>
      <c r="J16" s="129">
        <f t="shared" si="4"/>
        <v>0.2</v>
      </c>
      <c r="K16" s="131" t="s">
        <v>106</v>
      </c>
      <c r="L16" s="129" t="str">
        <f t="shared" si="15"/>
        <v xml:space="preserve">     El riesgo afecta la imagen de la entidad internamente, de conocimiento general, nivel interno, de junta dircetiva y accionistas y/o de provedores</v>
      </c>
      <c r="M16" s="128" t="str">
        <f>IF(OR(L16='Tabla Impacto'!$C$11,L16='Tabla Impacto'!$D$11),"Leve",IF(OR(L16='Tabla Impacto'!$C$12,L16='Tabla Impacto'!$D$12),"Menor",IF(OR(L16='Tabla Impacto'!$C$13,L16='Tabla Impacto'!$D$13),"Moderado",IF(OR(L16='Tabla Impacto'!$C$14,L16='Tabla Impacto'!$D$14),"Mayor",IF(OR(L16='Tabla Impacto'!$C$15,L16='Tabla Impacto'!$D$15),"Catastrófico","")))))</f>
        <v>Menor</v>
      </c>
      <c r="N16" s="129">
        <f t="shared" si="5"/>
        <v>0.4</v>
      </c>
      <c r="O16" s="132" t="str">
        <f t="shared" ref="O16:O18" si="18">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Bajo</v>
      </c>
      <c r="P16" s="119">
        <v>1</v>
      </c>
      <c r="Q16" s="136" t="s">
        <v>143</v>
      </c>
      <c r="R16" s="121" t="str">
        <f t="shared" si="1"/>
        <v>Probabilidad</v>
      </c>
      <c r="S16" s="122" t="s">
        <v>108</v>
      </c>
      <c r="T16" s="122" t="s">
        <v>109</v>
      </c>
      <c r="U16" s="123" t="str">
        <f t="shared" si="2"/>
        <v>40%</v>
      </c>
      <c r="V16" s="122" t="s">
        <v>110</v>
      </c>
      <c r="W16" s="122" t="s">
        <v>111</v>
      </c>
      <c r="X16" s="122" t="s">
        <v>112</v>
      </c>
      <c r="Y16" s="124">
        <f t="shared" ref="Y16:Y17" si="19">IFERROR(IF(AND(R15="Probabilidad",R16="Probabilidad"),(AA15-(+AA15*U16)),IF(AND(R15="Impacto",R16="Probabilidad"),(AA14-(+AA14*U16)),IF(R16="Impacto",AA15,""))),"")</f>
        <v>9.3311999999999978E-3</v>
      </c>
      <c r="Z16" s="125" t="str">
        <f t="shared" ref="Z16:Z17" si="20">IFERROR(IF(Y16="","",IF(Y16&lt;=0.2,"Muy Baja",IF(Y16&lt;=0.4,"Baja",IF(Y16&lt;=0.6,"Media",IF(Y16&lt;=0.8,"Alta","Muy Alta"))))),"")</f>
        <v>Muy Baja</v>
      </c>
      <c r="AA16" s="123">
        <f t="shared" ref="AA16:AA17" si="21">+Y16</f>
        <v>9.3311999999999978E-3</v>
      </c>
      <c r="AB16" s="125" t="str">
        <f t="shared" ref="AB16:AB17" si="22">IFERROR(IF(AC16="","",IF(AC16&lt;=0.2,"Leve",IF(AC16&lt;=0.4,"Menor",IF(AC16&lt;=0.6,"Moderado",IF(AC16&lt;=0.8,"Mayor","Catastrófico"))))),"")</f>
        <v>Menor</v>
      </c>
      <c r="AC16" s="123">
        <f t="shared" ref="AC16:AC17" si="23">IFERROR(IF(AND(R15="Impacto",R16="Impacto"),(AC15-(+AC15*U16)),IF(AND(R15="Probabilidad",R16="Impacto"),(AC14-(+AC14*U16)),IF(R16="Probabilidad",AC15,""))),"")</f>
        <v>0.4</v>
      </c>
      <c r="AD16" s="126" t="str">
        <f t="shared" ref="AD16:AD17" si="24">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Bajo</v>
      </c>
      <c r="AE16" s="122"/>
      <c r="AF16" s="136" t="s">
        <v>144</v>
      </c>
      <c r="AG16" s="116" t="s">
        <v>145</v>
      </c>
      <c r="AH16" s="127" t="s">
        <v>122</v>
      </c>
      <c r="AI16" s="118">
        <v>45656</v>
      </c>
      <c r="AJ16" s="117" t="s">
        <v>114</v>
      </c>
      <c r="AK16" s="116" t="s">
        <v>298</v>
      </c>
      <c r="AL16" s="117"/>
      <c r="AM16" s="145" t="s">
        <v>358</v>
      </c>
      <c r="AN16" s="139"/>
      <c r="AO16" s="142" t="s">
        <v>336</v>
      </c>
      <c r="AP16" s="139"/>
      <c r="AQ16" s="142" t="s">
        <v>336</v>
      </c>
      <c r="AR16" s="139"/>
      <c r="AS16" s="142" t="s">
        <v>336</v>
      </c>
      <c r="AT16" s="162" t="s">
        <v>382</v>
      </c>
      <c r="AU16" s="139"/>
      <c r="AV16" s="139"/>
      <c r="AW16" s="50"/>
      <c r="AX16" s="50"/>
      <c r="AY16" s="50"/>
      <c r="AZ16" s="50"/>
      <c r="BA16" s="50"/>
      <c r="BB16" s="50"/>
      <c r="BC16" s="50"/>
      <c r="BD16" s="50"/>
      <c r="BE16" s="50"/>
      <c r="BF16" s="50"/>
      <c r="BG16" s="50"/>
      <c r="BH16" s="50"/>
      <c r="BI16" s="50"/>
      <c r="BJ16" s="50"/>
      <c r="BK16" s="50"/>
      <c r="BL16" s="50"/>
      <c r="BM16" s="50"/>
      <c r="BN16" s="50"/>
      <c r="BO16" s="50"/>
      <c r="BP16" s="50"/>
      <c r="BQ16" s="50"/>
      <c r="BR16" s="50"/>
      <c r="BS16" s="50"/>
    </row>
    <row r="17" spans="1:71" ht="215.4" customHeight="1" x14ac:dyDescent="0.25">
      <c r="A17" s="119">
        <v>7</v>
      </c>
      <c r="B17" s="130" t="s">
        <v>146</v>
      </c>
      <c r="C17" s="117" t="s">
        <v>101</v>
      </c>
      <c r="D17" s="117" t="s">
        <v>103</v>
      </c>
      <c r="E17" s="117" t="s">
        <v>147</v>
      </c>
      <c r="F17" s="120" t="s">
        <v>148</v>
      </c>
      <c r="G17" s="117" t="s">
        <v>126</v>
      </c>
      <c r="H17" s="116">
        <v>12</v>
      </c>
      <c r="I17" s="128" t="str">
        <f>IF(H17&lt;=0,"",IF(H17&lt;=2,"Muy Baja",IF(H17&lt;=24,"Baja",IF(H17&lt;=500,"Media",IF(H17&lt;=5000,"Alta","Muy Alta")))))</f>
        <v>Baja</v>
      </c>
      <c r="J17" s="129">
        <f t="shared" si="4"/>
        <v>0.4</v>
      </c>
      <c r="K17" s="129" t="s">
        <v>133</v>
      </c>
      <c r="L17" s="129" t="str">
        <f t="shared" si="15"/>
        <v xml:space="preserve">     El riesgo afecta la imagen de la entidad con algunos usuarios de relevancia frente al logro de los objetivos</v>
      </c>
      <c r="M17" s="128" t="str">
        <f>IF(OR(L17='Tabla Impacto'!$C$11,L17='Tabla Impacto'!$D$11),"Leve",IF(OR(L17='Tabla Impacto'!$C$12,L17='Tabla Impacto'!$D$12),"Menor",IF(OR(L17='Tabla Impacto'!$C$13,L17='Tabla Impacto'!$D$13),"Moderado",IF(OR(L17='Tabla Impacto'!$C$14,L17='Tabla Impacto'!$D$14),"Mayor",IF(OR(L17='Tabla Impacto'!$C$15,L17='Tabla Impacto'!$D$15),"Catastrófico","")))))</f>
        <v>Moderado</v>
      </c>
      <c r="N17" s="129">
        <f t="shared" si="5"/>
        <v>0.6</v>
      </c>
      <c r="O17" s="132" t="str">
        <f t="shared" si="18"/>
        <v>Moderado</v>
      </c>
      <c r="P17" s="119">
        <v>1</v>
      </c>
      <c r="Q17" s="136" t="s">
        <v>149</v>
      </c>
      <c r="R17" s="121" t="str">
        <f t="shared" si="1"/>
        <v>Probabilidad</v>
      </c>
      <c r="S17" s="122" t="s">
        <v>108</v>
      </c>
      <c r="T17" s="122" t="s">
        <v>109</v>
      </c>
      <c r="U17" s="123" t="str">
        <f t="shared" si="2"/>
        <v>40%</v>
      </c>
      <c r="V17" s="122" t="s">
        <v>110</v>
      </c>
      <c r="W17" s="122" t="s">
        <v>111</v>
      </c>
      <c r="X17" s="122" t="s">
        <v>112</v>
      </c>
      <c r="Y17" s="124">
        <f t="shared" si="19"/>
        <v>5.598719999999998E-3</v>
      </c>
      <c r="Z17" s="125" t="str">
        <f t="shared" si="20"/>
        <v>Muy Baja</v>
      </c>
      <c r="AA17" s="123">
        <f t="shared" si="21"/>
        <v>5.598719999999998E-3</v>
      </c>
      <c r="AB17" s="125" t="str">
        <f t="shared" si="22"/>
        <v>Menor</v>
      </c>
      <c r="AC17" s="123">
        <f t="shared" si="23"/>
        <v>0.4</v>
      </c>
      <c r="AD17" s="126" t="str">
        <f t="shared" si="24"/>
        <v>Bajo</v>
      </c>
      <c r="AE17" s="122"/>
      <c r="AF17" s="136" t="s">
        <v>309</v>
      </c>
      <c r="AG17" s="116" t="s">
        <v>145</v>
      </c>
      <c r="AH17" s="127" t="s">
        <v>122</v>
      </c>
      <c r="AI17" s="118">
        <v>45656</v>
      </c>
      <c r="AJ17" s="117" t="s">
        <v>129</v>
      </c>
      <c r="AK17" s="116" t="s">
        <v>298</v>
      </c>
      <c r="AL17" s="117"/>
      <c r="AM17" s="145" t="s">
        <v>357</v>
      </c>
      <c r="AN17" s="141" t="s">
        <v>338</v>
      </c>
      <c r="AO17" s="142" t="s">
        <v>337</v>
      </c>
      <c r="AP17" s="141" t="s">
        <v>360</v>
      </c>
      <c r="AQ17" s="145" t="s">
        <v>359</v>
      </c>
      <c r="AR17" s="163" t="s">
        <v>360</v>
      </c>
      <c r="AS17" s="145" t="s">
        <v>359</v>
      </c>
      <c r="AT17" s="162" t="s">
        <v>382</v>
      </c>
      <c r="AU17" s="139"/>
      <c r="AV17" s="139"/>
      <c r="AW17" s="50"/>
      <c r="AX17" s="50"/>
      <c r="AY17" s="50"/>
      <c r="AZ17" s="50"/>
      <c r="BA17" s="50"/>
      <c r="BB17" s="50"/>
      <c r="BC17" s="50"/>
      <c r="BD17" s="50"/>
      <c r="BE17" s="50"/>
      <c r="BF17" s="50"/>
      <c r="BG17" s="50"/>
      <c r="BH17" s="50"/>
      <c r="BI17" s="50"/>
      <c r="BJ17" s="50"/>
      <c r="BK17" s="50"/>
      <c r="BL17" s="50"/>
      <c r="BM17" s="50"/>
      <c r="BN17" s="50"/>
      <c r="BO17" s="50"/>
      <c r="BP17" s="50"/>
      <c r="BQ17" s="50"/>
      <c r="BR17" s="50"/>
      <c r="BS17" s="50"/>
    </row>
    <row r="18" spans="1:71" ht="100.2" customHeight="1" x14ac:dyDescent="0.3">
      <c r="A18" s="119">
        <v>8</v>
      </c>
      <c r="B18" s="130" t="s">
        <v>150</v>
      </c>
      <c r="C18" s="117" t="s">
        <v>116</v>
      </c>
      <c r="D18" s="117" t="s">
        <v>151</v>
      </c>
      <c r="E18" s="117" t="s">
        <v>152</v>
      </c>
      <c r="F18" s="120" t="s">
        <v>317</v>
      </c>
      <c r="G18" s="117" t="s">
        <v>105</v>
      </c>
      <c r="H18" s="116">
        <v>24</v>
      </c>
      <c r="I18" s="128" t="str">
        <f t="shared" si="3"/>
        <v>Baja</v>
      </c>
      <c r="J18" s="129">
        <f t="shared" si="4"/>
        <v>0.4</v>
      </c>
      <c r="K18" s="129" t="s">
        <v>133</v>
      </c>
      <c r="L18" s="129" t="str">
        <f>IF(NOT(ISERROR(MATCH(K18,_xlfn.ANCHORARRAY(F26),0))),#REF!&amp;"Por favor no seleccionar los criterios de impacto",K18)</f>
        <v xml:space="preserve">     El riesgo afecta la imagen de la entidad con algunos usuarios de relevancia frente al logro de los objetivos</v>
      </c>
      <c r="M18" s="128" t="str">
        <f>IF(OR(L18='Tabla Impacto'!$C$11,L18='Tabla Impacto'!$D$11),"Leve",IF(OR(L18='Tabla Impacto'!$C$12,L18='Tabla Impacto'!$D$12),"Menor",IF(OR(L18='Tabla Impacto'!$C$13,L18='Tabla Impacto'!$D$13),"Moderado",IF(OR(L18='Tabla Impacto'!$C$14,L18='Tabla Impacto'!$D$14),"Mayor",IF(OR(L18='Tabla Impacto'!$C$15,L18='Tabla Impacto'!$D$15),"Catastrófico","")))))</f>
        <v>Moderado</v>
      </c>
      <c r="N18" s="129">
        <f t="shared" si="5"/>
        <v>0.6</v>
      </c>
      <c r="O18" s="132" t="str">
        <f t="shared" si="18"/>
        <v>Moderado</v>
      </c>
      <c r="P18" s="119">
        <v>2</v>
      </c>
      <c r="Q18" s="136" t="s">
        <v>153</v>
      </c>
      <c r="R18" s="121" t="str">
        <f t="shared" si="1"/>
        <v>Probabilidad</v>
      </c>
      <c r="S18" s="122" t="s">
        <v>108</v>
      </c>
      <c r="T18" s="122" t="s">
        <v>109</v>
      </c>
      <c r="U18" s="123" t="str">
        <f t="shared" si="2"/>
        <v>40%</v>
      </c>
      <c r="V18" s="122" t="s">
        <v>110</v>
      </c>
      <c r="W18" s="122" t="s">
        <v>111</v>
      </c>
      <c r="X18" s="122" t="s">
        <v>112</v>
      </c>
      <c r="Y18" s="170">
        <f t="shared" ref="Y18:Y27" si="25">IFERROR(IF(R18="Probabilidad",(J18-(+J18*U18)),IF(R18="Impacto",J18,"")),"")</f>
        <v>0.24</v>
      </c>
      <c r="Z18" s="125" t="str">
        <f t="shared" ref="Z18:Z27" si="26">IFERROR(IF(Y18="","",IF(Y18&lt;=0.2,"Muy Baja",IF(Y18&lt;=0.4,"Baja",IF(Y18&lt;=0.6,"Media",IF(Y18&lt;=0.8,"Alta","Muy Alta"))))),"")</f>
        <v>Baja</v>
      </c>
      <c r="AA18" s="123">
        <f t="shared" ref="AA18:AA27" si="27">+Y18</f>
        <v>0.24</v>
      </c>
      <c r="AB18" s="125" t="str">
        <f t="shared" ref="AB18:AB27" si="28">IFERROR(IF(AC18="","",IF(AC18&lt;=0.2,"Leve",IF(AC18&lt;=0.4,"Menor",IF(AC18&lt;=0.6,"Moderado",IF(AC18&lt;=0.8,"Mayor","Catastrófico"))))),"")</f>
        <v>Moderado</v>
      </c>
      <c r="AC18" s="123">
        <f t="shared" ref="AC18:AC27" si="29">IFERROR(IF(R18="Impacto",(N18-(+N18*U18)),IF(R18="Probabilidad",N18,"")),"")</f>
        <v>0.6</v>
      </c>
      <c r="AD18" s="126" t="str">
        <f t="shared" ref="AD18:AD27" si="30">IFERROR(IF(OR(AND(Z18="Muy Baja",AB18="Leve"),AND(Z18="Muy Baja",AB18="Menor"),AND(Z18="Baja",AB18="Leve")),"Bajo",IF(OR(AND(Z18="Muy baja",AB18="Moderado"),AND(Z18="Baja",AB18="Menor"),AND(Z18="Baja",AB18="Moderado"),AND(Z18="Media",AB18="Leve"),AND(Z18="Media",AB18="Menor"),AND(Z18="Media",AB18="Moderado"),AND(Z18="Alta",AB18="Leve"),AND(Z18="Alta",AB18="Menor")),"Moderado",IF(OR(AND(Z18="Muy Baja",AB18="Mayor"),AND(Z18="Baja",AB18="Mayor"),AND(Z18="Media",AB18="Mayor"),AND(Z18="Alta",AB18="Moderado"),AND(Z18="Alta",AB18="Mayor"),AND(Z18="Muy Alta",AB18="Leve"),AND(Z18="Muy Alta",AB18="Menor"),AND(Z18="Muy Alta",AB18="Moderado"),AND(Z18="Muy Alta",AB18="Mayor")),"Alto",IF(OR(AND(Z18="Muy Baja",AB18="Catastrófico"),AND(Z18="Baja",AB18="Catastrófico"),AND(Z18="Media",AB18="Catastrófico"),AND(Z18="Alta",AB18="Catastrófico"),AND(Z18="Muy Alta",AB18="Catastrófico")),"Extremo","")))),"")</f>
        <v>Moderado</v>
      </c>
      <c r="AE18" s="122"/>
      <c r="AF18" s="136" t="s">
        <v>154</v>
      </c>
      <c r="AG18" s="117" t="s">
        <v>155</v>
      </c>
      <c r="AH18" s="127" t="s">
        <v>122</v>
      </c>
      <c r="AI18" s="118">
        <v>45656</v>
      </c>
      <c r="AJ18" s="117" t="s">
        <v>123</v>
      </c>
      <c r="AK18" s="116" t="s">
        <v>298</v>
      </c>
      <c r="AL18" s="164" t="s">
        <v>372</v>
      </c>
      <c r="AM18" s="171" t="s">
        <v>381</v>
      </c>
      <c r="AN18" s="164" t="s">
        <v>372</v>
      </c>
      <c r="AO18" s="171" t="s">
        <v>381</v>
      </c>
      <c r="AP18" s="164" t="s">
        <v>372</v>
      </c>
      <c r="AQ18" s="171" t="s">
        <v>381</v>
      </c>
      <c r="AR18" s="164" t="s">
        <v>372</v>
      </c>
      <c r="AS18" s="171" t="s">
        <v>381</v>
      </c>
      <c r="AT18" s="162" t="s">
        <v>382</v>
      </c>
      <c r="AU18" s="172"/>
      <c r="AV18" s="172"/>
    </row>
    <row r="19" spans="1:71" ht="153" customHeight="1" x14ac:dyDescent="0.25">
      <c r="A19" s="119">
        <v>9</v>
      </c>
      <c r="B19" s="119" t="s">
        <v>156</v>
      </c>
      <c r="C19" s="117" t="s">
        <v>101</v>
      </c>
      <c r="D19" s="117" t="s">
        <v>103</v>
      </c>
      <c r="E19" s="117" t="s">
        <v>157</v>
      </c>
      <c r="F19" s="120" t="s">
        <v>158</v>
      </c>
      <c r="G19" s="117" t="s">
        <v>105</v>
      </c>
      <c r="H19" s="116">
        <v>1</v>
      </c>
      <c r="I19" s="128" t="str">
        <f t="shared" si="3"/>
        <v>Muy Baja</v>
      </c>
      <c r="J19" s="135">
        <f t="shared" si="4"/>
        <v>0.2</v>
      </c>
      <c r="K19" s="129" t="s">
        <v>106</v>
      </c>
      <c r="L19" s="129" t="str">
        <f>IF(NOT(ISERROR(MATCH(K19,_xlfn.ANCHORARRAY(F27),0))),#REF!&amp;"Por favor no seleccionar los criterios de impacto",K19)</f>
        <v xml:space="preserve">     El riesgo afecta la imagen de la entidad internamente, de conocimiento general, nivel interno, de junta dircetiva y accionistas y/o de provedores</v>
      </c>
      <c r="M19" s="128" t="str">
        <f>IF(OR(L19='Tabla Impacto'!$C$11,L19='Tabla Impacto'!$D$11),"Leve",IF(OR(L19='Tabla Impacto'!$C$12,L19='Tabla Impacto'!$D$12),"Menor",IF(OR(L19='Tabla Impacto'!$C$13,L19='Tabla Impacto'!$D$13),"Moderado",IF(OR(L19='Tabla Impacto'!$C$14,L19='Tabla Impacto'!$D$14),"Mayor",IF(OR(L19='Tabla Impacto'!$C$15,L19='Tabla Impacto'!$D$15),"Catastrófico","")))))</f>
        <v>Menor</v>
      </c>
      <c r="N19" s="129">
        <f t="shared" si="5"/>
        <v>0.4</v>
      </c>
      <c r="O19" s="132" t="str">
        <f t="shared" ref="O19" si="31">IF(OR(AND(I19="Muy Baja",M19="Leve"),AND(I19="Muy Baja",M19="Menor"),AND(I19="Baja",M19="Leve")),"Bajo",IF(OR(AND(I19="Muy baja",M19="Moderado"),AND(I19="Baja",M19="Menor"),AND(I19="Baja",M19="Moderado"),AND(I19="Media",M19="Leve"),AND(I19="Media",M19="Menor"),AND(I19="Media",M19="Moderado"),AND(I19="Alta",M19="Leve"),AND(I19="Alta",M19="Menor")),"Moderado",IF(OR(AND(I19="Muy Baja",M19="Mayor"),AND(I19="Baja",M19="Mayor"),AND(I19="Media",M19="Mayor"),AND(I19="Alta",M19="Moderado"),AND(I19="Alta",M19="Mayor"),AND(I19="Muy Alta",M19="Leve"),AND(I19="Muy Alta",M19="Menor"),AND(I19="Muy Alta",M19="Moderado"),AND(I19="Muy Alta",M19="Mayor")),"Alto",IF(OR(AND(I19="Muy Baja",M19="Catastrófico"),AND(I19="Baja",M19="Catastrófico"),AND(I19="Media",M19="Catastrófico"),AND(I19="Alta",M19="Catastrófico"),AND(I19="Muy Alta",M19="Catastrófico")),"Extremo",""))))</f>
        <v>Bajo</v>
      </c>
      <c r="P19" s="119">
        <v>4</v>
      </c>
      <c r="Q19" s="136" t="s">
        <v>159</v>
      </c>
      <c r="R19" s="121" t="str">
        <f t="shared" si="1"/>
        <v>Probabilidad</v>
      </c>
      <c r="S19" s="122" t="s">
        <v>108</v>
      </c>
      <c r="T19" s="122" t="s">
        <v>109</v>
      </c>
      <c r="U19" s="123" t="str">
        <f t="shared" si="2"/>
        <v>40%</v>
      </c>
      <c r="V19" s="122" t="s">
        <v>110</v>
      </c>
      <c r="W19" s="122" t="s">
        <v>111</v>
      </c>
      <c r="X19" s="122" t="s">
        <v>112</v>
      </c>
      <c r="Y19" s="124">
        <f t="shared" si="25"/>
        <v>0.12</v>
      </c>
      <c r="Z19" s="125" t="str">
        <f t="shared" si="26"/>
        <v>Muy Baja</v>
      </c>
      <c r="AA19" s="123">
        <f t="shared" si="27"/>
        <v>0.12</v>
      </c>
      <c r="AB19" s="125" t="str">
        <f t="shared" si="28"/>
        <v>Menor</v>
      </c>
      <c r="AC19" s="123">
        <f t="shared" si="29"/>
        <v>0.4</v>
      </c>
      <c r="AD19" s="126" t="str">
        <f t="shared" si="30"/>
        <v>Bajo</v>
      </c>
      <c r="AE19" s="122"/>
      <c r="AF19" s="136" t="s">
        <v>310</v>
      </c>
      <c r="AG19" s="116" t="s">
        <v>160</v>
      </c>
      <c r="AH19" s="127" t="s">
        <v>122</v>
      </c>
      <c r="AI19" s="118">
        <v>45656</v>
      </c>
      <c r="AJ19" s="118" t="s">
        <v>114</v>
      </c>
      <c r="AK19" s="116" t="s">
        <v>298</v>
      </c>
      <c r="AL19" s="141" t="s">
        <v>329</v>
      </c>
      <c r="AM19" s="142" t="s">
        <v>333</v>
      </c>
      <c r="AN19" s="141" t="s">
        <v>329</v>
      </c>
      <c r="AO19" s="142" t="s">
        <v>333</v>
      </c>
      <c r="AP19" s="141" t="s">
        <v>329</v>
      </c>
      <c r="AQ19" s="142" t="s">
        <v>333</v>
      </c>
      <c r="AR19" s="141" t="s">
        <v>329</v>
      </c>
      <c r="AS19" s="142" t="s">
        <v>333</v>
      </c>
      <c r="AT19" s="162" t="s">
        <v>382</v>
      </c>
      <c r="AU19" s="139"/>
      <c r="AV19" s="139"/>
      <c r="AW19" s="50"/>
      <c r="AX19" s="50"/>
      <c r="AY19" s="50"/>
      <c r="AZ19" s="50"/>
      <c r="BA19" s="50"/>
      <c r="BB19" s="50"/>
      <c r="BC19" s="50"/>
      <c r="BD19" s="50"/>
      <c r="BE19" s="50"/>
      <c r="BF19" s="50"/>
      <c r="BG19" s="50"/>
      <c r="BH19" s="50"/>
      <c r="BI19" s="50"/>
      <c r="BJ19" s="50"/>
      <c r="BK19" s="50"/>
      <c r="BL19" s="50"/>
      <c r="BM19" s="50"/>
      <c r="BN19" s="50"/>
      <c r="BO19" s="50"/>
      <c r="BP19" s="50"/>
      <c r="BQ19" s="50"/>
      <c r="BR19" s="50"/>
      <c r="BS19" s="50"/>
    </row>
    <row r="20" spans="1:71" s="52" customFormat="1" ht="222.6" customHeight="1" x14ac:dyDescent="0.3">
      <c r="A20" s="119">
        <v>10</v>
      </c>
      <c r="B20" s="117" t="s">
        <v>161</v>
      </c>
      <c r="C20" s="117" t="s">
        <v>162</v>
      </c>
      <c r="D20" s="117" t="s">
        <v>163</v>
      </c>
      <c r="E20" s="120" t="s">
        <v>164</v>
      </c>
      <c r="F20" s="117" t="s">
        <v>165</v>
      </c>
      <c r="G20" s="117" t="s">
        <v>126</v>
      </c>
      <c r="H20" s="119">
        <v>24</v>
      </c>
      <c r="I20" s="157" t="str">
        <f>IF(H20&lt;=0,"",IF(H20&lt;=2,"Muy Baja",IF(H20&lt;=24,"Baja",IF(H20&lt;=500,"Media",IF(H20&lt;=5000,"Alta","Muy Alta")))))</f>
        <v>Baja</v>
      </c>
      <c r="J20" s="129">
        <f t="shared" ref="J20:J27" si="32">IF(I20="","",IF(I20="Muy Baja",0.2,IF(I20="Baja",0.4,IF(I20="Media",0.6,IF(I20="Alta",0.8,IF(I20="Muy Alta",1,))))))</f>
        <v>0.4</v>
      </c>
      <c r="K20" s="131" t="s">
        <v>166</v>
      </c>
      <c r="L20" s="129" t="str">
        <f>IF(NOT(ISERROR(MATCH(K20,'Tabla Impacto'!$B$221:$B$223,0))),'Tabla Impacto'!$F$223&amp;"Por favor no seleccionar los criterios de impacto(Afectación Económica o presupuestal y Pérdida Reputacional)",K20)</f>
        <v xml:space="preserve">     Afectación menor a 10 SMLMV .</v>
      </c>
      <c r="M20" s="157" t="str">
        <f>IF(OR(L20='Tabla Impacto'!$C$11,L20='Tabla Impacto'!$D$11),"Leve",IF(OR(L20='Tabla Impacto'!$C$12,L20='Tabla Impacto'!$D$12),"Menor",IF(OR(L20='Tabla Impacto'!$C$13,L20='Tabla Impacto'!$D$13),"Moderado",IF(OR(L20='Tabla Impacto'!$C$14,L20='Tabla Impacto'!$D$14),"Mayor",IF(OR(L20='Tabla Impacto'!$C$15,L20='Tabla Impacto'!$D$15),"Catastrófico","")))))</f>
        <v>Leve</v>
      </c>
      <c r="N20" s="129">
        <f t="shared" ref="N20:N27" si="33">IF(M20="","",IF(M20="Leve",0.2,IF(M20="Menor",0.4,IF(M20="Moderado",0.6,IF(M20="Mayor",0.8,IF(M20="Catastrófico",1,))))))</f>
        <v>0.2</v>
      </c>
      <c r="O20" s="158" t="str">
        <f t="shared" ref="O20:O27" si="34">IF(OR(AND(I20="Muy Baja",M20="Leve"),AND(I20="Muy Baja",M20="Menor"),AND(I20="Baja",M20="Leve")),"Bajo",IF(OR(AND(I20="Muy baja",M20="Moderado"),AND(I20="Baja",M20="Menor"),AND(I20="Baja",M20="Moderado"),AND(I20="Media",M20="Leve"),AND(I20="Media",M20="Menor"),AND(I20="Media",M20="Moderado"),AND(I20="Alta",M20="Leve"),AND(I20="Alta",M20="Menor")),"Moderado",IF(OR(AND(I20="Muy Baja",M20="Mayor"),AND(I20="Baja",M20="Mayor"),AND(I20="Media",M20="Mayor"),AND(I20="Alta",M20="Moderado"),AND(I20="Alta",M20="Mayor"),AND(I20="Muy Alta",M20="Leve"),AND(I20="Muy Alta",M20="Menor"),AND(I20="Muy Alta",M20="Moderado"),AND(I20="Muy Alta",M20="Mayor")),"Alto",IF(OR(AND(I20="Muy Baja",M20="Catastrófico"),AND(I20="Baja",M20="Catastrófico"),AND(I20="Media",M20="Catastrófico"),AND(I20="Alta",M20="Catastrófico"),AND(I20="Muy Alta",M20="Catastrófico")),"Extremo",""))))</f>
        <v>Bajo</v>
      </c>
      <c r="P20" s="119">
        <v>3</v>
      </c>
      <c r="Q20" s="136" t="s">
        <v>167</v>
      </c>
      <c r="R20" s="121" t="str">
        <f t="shared" si="1"/>
        <v>Probabilidad</v>
      </c>
      <c r="S20" s="122" t="s">
        <v>108</v>
      </c>
      <c r="T20" s="122" t="s">
        <v>109</v>
      </c>
      <c r="U20" s="123" t="str">
        <f t="shared" si="2"/>
        <v>40%</v>
      </c>
      <c r="V20" s="122" t="s">
        <v>110</v>
      </c>
      <c r="W20" s="122" t="s">
        <v>111</v>
      </c>
      <c r="X20" s="122" t="s">
        <v>112</v>
      </c>
      <c r="Y20" s="159">
        <f t="shared" si="25"/>
        <v>0.24</v>
      </c>
      <c r="Z20" s="160" t="str">
        <f t="shared" si="26"/>
        <v>Baja</v>
      </c>
      <c r="AA20" s="123">
        <f t="shared" si="27"/>
        <v>0.24</v>
      </c>
      <c r="AB20" s="160" t="str">
        <f t="shared" si="28"/>
        <v>Leve</v>
      </c>
      <c r="AC20" s="123">
        <f t="shared" si="29"/>
        <v>0.2</v>
      </c>
      <c r="AD20" s="161" t="str">
        <f t="shared" si="30"/>
        <v>Bajo</v>
      </c>
      <c r="AE20" s="122"/>
      <c r="AF20" s="136" t="s">
        <v>168</v>
      </c>
      <c r="AG20" s="116" t="s">
        <v>160</v>
      </c>
      <c r="AH20" s="127" t="s">
        <v>122</v>
      </c>
      <c r="AI20" s="118">
        <v>45656</v>
      </c>
      <c r="AJ20" s="118" t="s">
        <v>169</v>
      </c>
      <c r="AK20" s="116" t="s">
        <v>298</v>
      </c>
      <c r="AL20" s="173" t="s">
        <v>349</v>
      </c>
      <c r="AM20" s="162" t="s">
        <v>348</v>
      </c>
      <c r="AN20" s="174" t="s">
        <v>344</v>
      </c>
      <c r="AO20" s="173" t="s">
        <v>346</v>
      </c>
      <c r="AP20" s="174" t="s">
        <v>347</v>
      </c>
      <c r="AQ20" s="175" t="s">
        <v>345</v>
      </c>
      <c r="AR20" s="174" t="s">
        <v>370</v>
      </c>
      <c r="AS20" s="173" t="s">
        <v>371</v>
      </c>
      <c r="AT20" s="162" t="s">
        <v>382</v>
      </c>
      <c r="AU20" s="138"/>
      <c r="AV20" s="138"/>
      <c r="AW20" s="51"/>
      <c r="AX20" s="51"/>
      <c r="AY20" s="51"/>
      <c r="AZ20" s="51"/>
      <c r="BA20" s="51"/>
      <c r="BB20" s="51"/>
      <c r="BC20" s="51"/>
      <c r="BD20" s="51"/>
      <c r="BE20" s="51"/>
      <c r="BF20" s="51"/>
      <c r="BG20" s="51"/>
      <c r="BH20" s="51"/>
      <c r="BI20" s="51"/>
      <c r="BJ20" s="51"/>
      <c r="BK20" s="51"/>
      <c r="BL20" s="51"/>
      <c r="BM20" s="51"/>
      <c r="BN20" s="51"/>
      <c r="BO20" s="51"/>
      <c r="BP20" s="51"/>
      <c r="BQ20" s="51"/>
      <c r="BR20" s="51"/>
    </row>
    <row r="21" spans="1:71" ht="153.6" customHeight="1" x14ac:dyDescent="0.25">
      <c r="A21" s="119">
        <v>11</v>
      </c>
      <c r="B21" s="119" t="s">
        <v>170</v>
      </c>
      <c r="C21" s="117" t="s">
        <v>116</v>
      </c>
      <c r="D21" s="117" t="s">
        <v>171</v>
      </c>
      <c r="E21" s="120" t="s">
        <v>103</v>
      </c>
      <c r="F21" s="117" t="s">
        <v>172</v>
      </c>
      <c r="G21" s="117" t="s">
        <v>105</v>
      </c>
      <c r="H21" s="116">
        <v>1</v>
      </c>
      <c r="I21" s="128" t="str">
        <f>IF(H21&lt;=0,"",IF(H21&lt;=2,"Muy Baja",IF(H21&lt;=24,"Baja",IF(H21&lt;=500,"Media",IF(H21&lt;=5000,"Alta","Muy Alta")))))</f>
        <v>Muy Baja</v>
      </c>
      <c r="J21" s="129">
        <f t="shared" si="32"/>
        <v>0.2</v>
      </c>
      <c r="K21" s="131" t="s">
        <v>106</v>
      </c>
      <c r="L21" s="129" t="str">
        <f>IF(NOT(ISERROR(MATCH(K21,_xlfn.ANCHORARRAY(#REF!),0))),#REF!&amp;"Por favor no seleccionar los criterios de impacto",K21)</f>
        <v xml:space="preserve">     El riesgo afecta la imagen de la entidad internamente, de conocimiento general, nivel interno, de junta dircetiva y accionistas y/o de provedores</v>
      </c>
      <c r="M21" s="128" t="str">
        <f>IF(OR(L21='Tabla Impacto'!$C$11,L21='Tabla Impacto'!$D$11),"Leve",IF(OR(L21='Tabla Impacto'!$C$12,L21='Tabla Impacto'!$D$12),"Menor",IF(OR(L21='Tabla Impacto'!$C$13,L21='Tabla Impacto'!$D$13),"Moderado",IF(OR(L21='Tabla Impacto'!$C$14,L21='Tabla Impacto'!$D$14),"Mayor",IF(OR(L21='Tabla Impacto'!$C$15,L21='Tabla Impacto'!$D$15),"Catastrófico","")))))</f>
        <v>Menor</v>
      </c>
      <c r="N21" s="129">
        <f t="shared" si="33"/>
        <v>0.4</v>
      </c>
      <c r="O21" s="132" t="str">
        <f t="shared" si="34"/>
        <v>Bajo</v>
      </c>
      <c r="P21" s="119">
        <v>3</v>
      </c>
      <c r="Q21" s="136" t="s">
        <v>173</v>
      </c>
      <c r="R21" s="121" t="str">
        <f t="shared" si="1"/>
        <v>Probabilidad</v>
      </c>
      <c r="S21" s="122" t="s">
        <v>108</v>
      </c>
      <c r="T21" s="122" t="s">
        <v>109</v>
      </c>
      <c r="U21" s="123" t="str">
        <f t="shared" si="2"/>
        <v>40%</v>
      </c>
      <c r="V21" s="122" t="s">
        <v>110</v>
      </c>
      <c r="W21" s="122" t="s">
        <v>111</v>
      </c>
      <c r="X21" s="122" t="s">
        <v>112</v>
      </c>
      <c r="Y21" s="124">
        <f t="shared" si="25"/>
        <v>0.12</v>
      </c>
      <c r="Z21" s="125" t="str">
        <f t="shared" si="26"/>
        <v>Muy Baja</v>
      </c>
      <c r="AA21" s="123">
        <f t="shared" si="27"/>
        <v>0.12</v>
      </c>
      <c r="AB21" s="125" t="str">
        <f t="shared" si="28"/>
        <v>Menor</v>
      </c>
      <c r="AC21" s="123">
        <f t="shared" si="29"/>
        <v>0.4</v>
      </c>
      <c r="AD21" s="126" t="str">
        <f t="shared" si="30"/>
        <v>Bajo</v>
      </c>
      <c r="AE21" s="122"/>
      <c r="AF21" s="136" t="s">
        <v>311</v>
      </c>
      <c r="AG21" s="116" t="s">
        <v>160</v>
      </c>
      <c r="AH21" s="127" t="s">
        <v>122</v>
      </c>
      <c r="AI21" s="118">
        <v>45656</v>
      </c>
      <c r="AJ21" s="118" t="s">
        <v>114</v>
      </c>
      <c r="AK21" s="116" t="s">
        <v>298</v>
      </c>
      <c r="AL21" s="174" t="s">
        <v>361</v>
      </c>
      <c r="AM21" s="142" t="s">
        <v>339</v>
      </c>
      <c r="AN21" s="174" t="s">
        <v>361</v>
      </c>
      <c r="AO21" s="142" t="s">
        <v>339</v>
      </c>
      <c r="AP21" s="174" t="s">
        <v>361</v>
      </c>
      <c r="AQ21" s="142" t="s">
        <v>339</v>
      </c>
      <c r="AR21" s="174" t="s">
        <v>361</v>
      </c>
      <c r="AS21" s="142" t="s">
        <v>339</v>
      </c>
      <c r="AT21" s="162" t="s">
        <v>382</v>
      </c>
      <c r="AU21" s="139"/>
      <c r="AV21" s="139"/>
      <c r="AW21" s="50"/>
      <c r="AX21" s="50"/>
      <c r="AY21" s="50"/>
      <c r="AZ21" s="50"/>
      <c r="BA21" s="50"/>
      <c r="BB21" s="50"/>
      <c r="BC21" s="50"/>
      <c r="BD21" s="50"/>
      <c r="BE21" s="50"/>
      <c r="BF21" s="50"/>
      <c r="BG21" s="50"/>
      <c r="BH21" s="50"/>
      <c r="BI21" s="50"/>
      <c r="BJ21" s="50"/>
      <c r="BK21" s="50"/>
      <c r="BL21" s="50"/>
      <c r="BM21" s="50"/>
      <c r="BN21" s="50"/>
      <c r="BO21" s="50"/>
      <c r="BP21" s="50"/>
      <c r="BQ21" s="50"/>
      <c r="BR21" s="50"/>
      <c r="BS21" s="50"/>
    </row>
    <row r="22" spans="1:71" ht="146.69999999999999" customHeight="1" x14ac:dyDescent="0.3">
      <c r="A22" s="119">
        <v>12</v>
      </c>
      <c r="B22" s="218" t="s">
        <v>174</v>
      </c>
      <c r="C22" s="117" t="s">
        <v>116</v>
      </c>
      <c r="D22" s="117" t="s">
        <v>151</v>
      </c>
      <c r="E22" s="117" t="s">
        <v>175</v>
      </c>
      <c r="F22" s="117" t="s">
        <v>176</v>
      </c>
      <c r="G22" s="117" t="s">
        <v>105</v>
      </c>
      <c r="H22" s="116">
        <v>12</v>
      </c>
      <c r="I22" s="128" t="str">
        <f>IF(H22&lt;=0,"",IF(H22&lt;=2,"Muy Baja",IF(H22&lt;=24,"Baja",IF(H22&lt;=500,"Media",IF(H22&lt;=5000,"Alta","Muy Alta")))))</f>
        <v>Baja</v>
      </c>
      <c r="J22" s="129">
        <f t="shared" si="32"/>
        <v>0.4</v>
      </c>
      <c r="K22" s="131" t="s">
        <v>106</v>
      </c>
      <c r="L22" s="129" t="str">
        <f>IF(NOT(ISERROR(MATCH(K22,_xlfn.ANCHORARRAY(#REF!),0))),#REF!&amp;"Por favor no seleccionar los criterios de impacto",K22)</f>
        <v xml:space="preserve">     El riesgo afecta la imagen de la entidad internamente, de conocimiento general, nivel interno, de junta dircetiva y accionistas y/o de provedores</v>
      </c>
      <c r="M22" s="128" t="str">
        <f>IF(OR(L22='Tabla Impacto'!$C$11,L22='Tabla Impacto'!$D$11),"Leve",IF(OR(L22='Tabla Impacto'!$C$12,L22='Tabla Impacto'!$D$12),"Menor",IF(OR(L22='Tabla Impacto'!$C$13,L22='Tabla Impacto'!$D$13),"Moderado",IF(OR(L22='Tabla Impacto'!$C$14,L22='Tabla Impacto'!$D$14),"Mayor",IF(OR(L22='Tabla Impacto'!$C$15,L22='Tabla Impacto'!$D$15),"Catastrófico","")))))</f>
        <v>Menor</v>
      </c>
      <c r="N22" s="129">
        <f t="shared" si="33"/>
        <v>0.4</v>
      </c>
      <c r="O22" s="132" t="str">
        <f t="shared" si="34"/>
        <v>Moderado</v>
      </c>
      <c r="P22" s="119">
        <v>2</v>
      </c>
      <c r="Q22" s="136" t="s">
        <v>177</v>
      </c>
      <c r="R22" s="121" t="str">
        <f t="shared" si="1"/>
        <v>Probabilidad</v>
      </c>
      <c r="S22" s="122" t="s">
        <v>108</v>
      </c>
      <c r="T22" s="122" t="s">
        <v>109</v>
      </c>
      <c r="U22" s="123" t="str">
        <f t="shared" si="2"/>
        <v>40%</v>
      </c>
      <c r="V22" s="122" t="s">
        <v>110</v>
      </c>
      <c r="W22" s="122" t="s">
        <v>111</v>
      </c>
      <c r="X22" s="122" t="s">
        <v>112</v>
      </c>
      <c r="Y22" s="170">
        <f t="shared" si="25"/>
        <v>0.24</v>
      </c>
      <c r="Z22" s="125" t="str">
        <f t="shared" si="26"/>
        <v>Baja</v>
      </c>
      <c r="AA22" s="123">
        <f t="shared" si="27"/>
        <v>0.24</v>
      </c>
      <c r="AB22" s="125" t="str">
        <f t="shared" si="28"/>
        <v>Menor</v>
      </c>
      <c r="AC22" s="123">
        <f t="shared" si="29"/>
        <v>0.4</v>
      </c>
      <c r="AD22" s="126" t="str">
        <f t="shared" si="30"/>
        <v>Moderado</v>
      </c>
      <c r="AE22" s="122"/>
      <c r="AF22" s="136" t="s">
        <v>312</v>
      </c>
      <c r="AG22" s="117" t="s">
        <v>155</v>
      </c>
      <c r="AH22" s="127" t="s">
        <v>122</v>
      </c>
      <c r="AI22" s="118">
        <v>45656</v>
      </c>
      <c r="AJ22" s="117" t="s">
        <v>129</v>
      </c>
      <c r="AK22" s="116" t="s">
        <v>298</v>
      </c>
      <c r="AL22" s="164" t="s">
        <v>373</v>
      </c>
      <c r="AM22" s="171" t="s">
        <v>374</v>
      </c>
      <c r="AN22" s="164" t="s">
        <v>373</v>
      </c>
      <c r="AO22" s="171" t="s">
        <v>374</v>
      </c>
      <c r="AP22" s="164" t="s">
        <v>373</v>
      </c>
      <c r="AQ22" s="171" t="s">
        <v>374</v>
      </c>
      <c r="AR22" s="164" t="s">
        <v>373</v>
      </c>
      <c r="AS22" s="171" t="s">
        <v>374</v>
      </c>
      <c r="AT22" s="162" t="s">
        <v>382</v>
      </c>
      <c r="AU22" s="172"/>
      <c r="AV22" s="172"/>
    </row>
    <row r="23" spans="1:71" ht="131.69999999999999" customHeight="1" x14ac:dyDescent="0.3">
      <c r="A23" s="119">
        <v>13</v>
      </c>
      <c r="B23" s="218"/>
      <c r="C23" s="117" t="s">
        <v>116</v>
      </c>
      <c r="D23" s="117" t="s">
        <v>178</v>
      </c>
      <c r="E23" s="117" t="s">
        <v>179</v>
      </c>
      <c r="F23" s="117" t="s">
        <v>180</v>
      </c>
      <c r="G23" s="117" t="s">
        <v>181</v>
      </c>
      <c r="H23" s="116">
        <v>12</v>
      </c>
      <c r="I23" s="128" t="str">
        <f>IF(H23&lt;=0,"",IF(H23&lt;=2,"Muy Baja",IF(H23&lt;=24,"Baja",IF(H23&lt;=500,"Media",IF(H23&lt;=5000,"Alta","Muy Alta")))))</f>
        <v>Baja</v>
      </c>
      <c r="J23" s="129">
        <f t="shared" si="32"/>
        <v>0.4</v>
      </c>
      <c r="K23" s="131" t="s">
        <v>133</v>
      </c>
      <c r="L23" s="129" t="str">
        <f>IF(NOT(ISERROR(MATCH(K23,_xlfn.ANCHORARRAY(#REF!),0))),#REF!&amp;"Por favor no seleccionar los criterios de impacto",K23)</f>
        <v xml:space="preserve">     El riesgo afecta la imagen de la entidad con algunos usuarios de relevancia frente al logro de los objetivos</v>
      </c>
      <c r="M23" s="128" t="str">
        <f>IF(OR(L23='Tabla Impacto'!$C$11,L23='Tabla Impacto'!$D$11),"Leve",IF(OR(L23='Tabla Impacto'!$C$12,L23='Tabla Impacto'!$D$12),"Menor",IF(OR(L23='Tabla Impacto'!$C$13,L23='Tabla Impacto'!$D$13),"Moderado",IF(OR(L23='Tabla Impacto'!$C$14,L23='Tabla Impacto'!$D$14),"Mayor",IF(OR(L23='Tabla Impacto'!$C$15,L23='Tabla Impacto'!$D$15),"Catastrófico","")))))</f>
        <v>Moderado</v>
      </c>
      <c r="N23" s="129">
        <f t="shared" si="33"/>
        <v>0.6</v>
      </c>
      <c r="O23" s="132" t="str">
        <f t="shared" si="34"/>
        <v>Moderado</v>
      </c>
      <c r="P23" s="119">
        <v>2</v>
      </c>
      <c r="Q23" s="136" t="s">
        <v>177</v>
      </c>
      <c r="R23" s="121" t="str">
        <f t="shared" si="1"/>
        <v>Probabilidad</v>
      </c>
      <c r="S23" s="122" t="s">
        <v>108</v>
      </c>
      <c r="T23" s="122" t="s">
        <v>109</v>
      </c>
      <c r="U23" s="123" t="str">
        <f t="shared" si="2"/>
        <v>40%</v>
      </c>
      <c r="V23" s="122" t="s">
        <v>110</v>
      </c>
      <c r="W23" s="122" t="s">
        <v>111</v>
      </c>
      <c r="X23" s="122" t="s">
        <v>112</v>
      </c>
      <c r="Y23" s="170">
        <f t="shared" si="25"/>
        <v>0.24</v>
      </c>
      <c r="Z23" s="125" t="str">
        <f t="shared" si="26"/>
        <v>Baja</v>
      </c>
      <c r="AA23" s="123">
        <f t="shared" si="27"/>
        <v>0.24</v>
      </c>
      <c r="AB23" s="125" t="str">
        <f t="shared" si="28"/>
        <v>Moderado</v>
      </c>
      <c r="AC23" s="123">
        <f t="shared" si="29"/>
        <v>0.6</v>
      </c>
      <c r="AD23" s="126" t="str">
        <f t="shared" si="30"/>
        <v>Moderado</v>
      </c>
      <c r="AE23" s="122"/>
      <c r="AF23" s="136" t="s">
        <v>312</v>
      </c>
      <c r="AG23" s="117" t="s">
        <v>155</v>
      </c>
      <c r="AH23" s="127" t="s">
        <v>122</v>
      </c>
      <c r="AI23" s="118">
        <v>45656</v>
      </c>
      <c r="AJ23" s="117" t="s">
        <v>129</v>
      </c>
      <c r="AK23" s="116" t="s">
        <v>298</v>
      </c>
      <c r="AL23" s="164" t="s">
        <v>375</v>
      </c>
      <c r="AM23" s="171" t="s">
        <v>374</v>
      </c>
      <c r="AN23" s="164" t="s">
        <v>375</v>
      </c>
      <c r="AO23" s="171" t="s">
        <v>374</v>
      </c>
      <c r="AP23" s="164" t="s">
        <v>375</v>
      </c>
      <c r="AQ23" s="171" t="s">
        <v>374</v>
      </c>
      <c r="AR23" s="164" t="s">
        <v>375</v>
      </c>
      <c r="AS23" s="171" t="s">
        <v>374</v>
      </c>
      <c r="AT23" s="162" t="s">
        <v>382</v>
      </c>
      <c r="AU23" s="172"/>
      <c r="AV23" s="172"/>
    </row>
    <row r="24" spans="1:71" ht="119.4" customHeight="1" x14ac:dyDescent="0.3">
      <c r="A24" s="119">
        <v>14</v>
      </c>
      <c r="B24" s="218"/>
      <c r="C24" s="117" t="s">
        <v>116</v>
      </c>
      <c r="D24" s="117" t="s">
        <v>182</v>
      </c>
      <c r="E24" s="117" t="s">
        <v>183</v>
      </c>
      <c r="F24" s="117" t="s">
        <v>184</v>
      </c>
      <c r="G24" s="117" t="s">
        <v>126</v>
      </c>
      <c r="H24" s="116">
        <v>30</v>
      </c>
      <c r="I24" s="128" t="str">
        <f t="shared" ref="I24:I25" si="35">IF(H24&lt;=0,"",IF(H24&lt;=2,"Muy Baja",IF(H24&lt;=24,"Baja",IF(H24&lt;=500,"Media",IF(H24&lt;=5000,"Alta","Muy Alta")))))</f>
        <v>Media</v>
      </c>
      <c r="J24" s="129">
        <f t="shared" si="32"/>
        <v>0.6</v>
      </c>
      <c r="K24" s="131" t="s">
        <v>106</v>
      </c>
      <c r="L24" s="129" t="str">
        <f>IF(NOT(ISERROR(MATCH(K24,_xlfn.ANCHORARRAY(#REF!),0))),#REF!&amp;"Por favor no seleccionar los criterios de impacto",K24)</f>
        <v xml:space="preserve">     El riesgo afecta la imagen de la entidad internamente, de conocimiento general, nivel interno, de junta dircetiva y accionistas y/o de provedores</v>
      </c>
      <c r="M24" s="128" t="str">
        <f>IF(OR(L24='Tabla Impacto'!$C$11,L24='Tabla Impacto'!$D$11),"Leve",IF(OR(L24='Tabla Impacto'!$C$12,L24='Tabla Impacto'!$D$12),"Menor",IF(OR(L24='Tabla Impacto'!$C$13,L24='Tabla Impacto'!$D$13),"Moderado",IF(OR(L24='Tabla Impacto'!$C$14,L24='Tabla Impacto'!$D$14),"Mayor",IF(OR(L24='Tabla Impacto'!$C$15,L24='Tabla Impacto'!$D$15),"Catastrófico","")))))</f>
        <v>Menor</v>
      </c>
      <c r="N24" s="129">
        <f t="shared" si="33"/>
        <v>0.4</v>
      </c>
      <c r="O24" s="132" t="str">
        <f t="shared" si="34"/>
        <v>Moderado</v>
      </c>
      <c r="P24" s="119">
        <v>2</v>
      </c>
      <c r="Q24" s="136" t="s">
        <v>185</v>
      </c>
      <c r="R24" s="121" t="str">
        <f t="shared" si="1"/>
        <v>Probabilidad</v>
      </c>
      <c r="S24" s="122" t="s">
        <v>108</v>
      </c>
      <c r="T24" s="122" t="s">
        <v>109</v>
      </c>
      <c r="U24" s="123" t="str">
        <f t="shared" si="2"/>
        <v>40%</v>
      </c>
      <c r="V24" s="122" t="s">
        <v>110</v>
      </c>
      <c r="W24" s="122" t="s">
        <v>111</v>
      </c>
      <c r="X24" s="122" t="s">
        <v>112</v>
      </c>
      <c r="Y24" s="170">
        <f t="shared" si="25"/>
        <v>0.36</v>
      </c>
      <c r="Z24" s="125" t="str">
        <f t="shared" si="26"/>
        <v>Baja</v>
      </c>
      <c r="AA24" s="123">
        <f t="shared" si="27"/>
        <v>0.36</v>
      </c>
      <c r="AB24" s="125" t="str">
        <f t="shared" si="28"/>
        <v>Menor</v>
      </c>
      <c r="AC24" s="123">
        <f t="shared" si="29"/>
        <v>0.4</v>
      </c>
      <c r="AD24" s="126" t="str">
        <f t="shared" si="30"/>
        <v>Moderado</v>
      </c>
      <c r="AE24" s="122"/>
      <c r="AF24" s="136" t="s">
        <v>186</v>
      </c>
      <c r="AG24" s="117" t="s">
        <v>155</v>
      </c>
      <c r="AH24" s="127" t="s">
        <v>122</v>
      </c>
      <c r="AI24" s="118">
        <v>45656</v>
      </c>
      <c r="AJ24" s="117" t="s">
        <v>129</v>
      </c>
      <c r="AK24" s="116" t="s">
        <v>298</v>
      </c>
      <c r="AL24" s="164" t="s">
        <v>376</v>
      </c>
      <c r="AM24" s="171" t="s">
        <v>380</v>
      </c>
      <c r="AN24" s="164" t="s">
        <v>377</v>
      </c>
      <c r="AO24" s="171" t="s">
        <v>380</v>
      </c>
      <c r="AP24" s="164" t="s">
        <v>378</v>
      </c>
      <c r="AQ24" s="171" t="s">
        <v>380</v>
      </c>
      <c r="AR24" s="164" t="s">
        <v>379</v>
      </c>
      <c r="AS24" s="171" t="s">
        <v>380</v>
      </c>
      <c r="AT24" s="162" t="s">
        <v>382</v>
      </c>
      <c r="AU24" s="172"/>
      <c r="AV24" s="172"/>
    </row>
    <row r="25" spans="1:71" ht="122.4" customHeight="1" x14ac:dyDescent="0.25">
      <c r="A25" s="119">
        <v>15</v>
      </c>
      <c r="B25" s="119" t="s">
        <v>187</v>
      </c>
      <c r="C25" s="117" t="s">
        <v>116</v>
      </c>
      <c r="D25" s="117" t="s">
        <v>188</v>
      </c>
      <c r="E25" s="117" t="s">
        <v>319</v>
      </c>
      <c r="F25" s="117" t="s">
        <v>189</v>
      </c>
      <c r="G25" s="117" t="s">
        <v>181</v>
      </c>
      <c r="H25" s="116">
        <v>30</v>
      </c>
      <c r="I25" s="128" t="str">
        <f t="shared" si="35"/>
        <v>Media</v>
      </c>
      <c r="J25" s="129">
        <f t="shared" si="32"/>
        <v>0.6</v>
      </c>
      <c r="K25" s="131" t="s">
        <v>106</v>
      </c>
      <c r="L25" s="129" t="str">
        <f>IF(NOT(ISERROR(MATCH(K25,_xlfn.ANCHORARRAY(#REF!),0))),#REF!&amp;"Por favor no seleccionar los criterios de impacto",K25)</f>
        <v xml:space="preserve">     El riesgo afecta la imagen de la entidad internamente, de conocimiento general, nivel interno, de junta dircetiva y accionistas y/o de provedores</v>
      </c>
      <c r="M25" s="128" t="str">
        <f>IF(OR(L25='Tabla Impacto'!$C$11,L25='Tabla Impacto'!$D$11),"Leve",IF(OR(L25='Tabla Impacto'!$C$12,L25='Tabla Impacto'!$D$12),"Menor",IF(OR(L25='Tabla Impacto'!$C$13,L25='Tabla Impacto'!$D$13),"Moderado",IF(OR(L25='Tabla Impacto'!$C$14,L25='Tabla Impacto'!$D$14),"Mayor",IF(OR(L25='Tabla Impacto'!$C$15,L25='Tabla Impacto'!$D$15),"Catastrófico","")))))</f>
        <v>Menor</v>
      </c>
      <c r="N25" s="129">
        <f t="shared" si="33"/>
        <v>0.4</v>
      </c>
      <c r="O25" s="132" t="str">
        <f t="shared" si="34"/>
        <v>Moderado</v>
      </c>
      <c r="P25" s="119">
        <v>1</v>
      </c>
      <c r="Q25" s="136" t="s">
        <v>190</v>
      </c>
      <c r="R25" s="121" t="str">
        <f t="shared" si="1"/>
        <v>Probabilidad</v>
      </c>
      <c r="S25" s="122" t="s">
        <v>108</v>
      </c>
      <c r="T25" s="122" t="s">
        <v>109</v>
      </c>
      <c r="U25" s="123" t="str">
        <f t="shared" si="2"/>
        <v>40%</v>
      </c>
      <c r="V25" s="122" t="s">
        <v>110</v>
      </c>
      <c r="W25" s="122" t="s">
        <v>111</v>
      </c>
      <c r="X25" s="122" t="s">
        <v>112</v>
      </c>
      <c r="Y25" s="124">
        <f t="shared" si="25"/>
        <v>0.36</v>
      </c>
      <c r="Z25" s="125" t="str">
        <f t="shared" si="26"/>
        <v>Baja</v>
      </c>
      <c r="AA25" s="123">
        <f t="shared" si="27"/>
        <v>0.36</v>
      </c>
      <c r="AB25" s="125" t="str">
        <f t="shared" si="28"/>
        <v>Menor</v>
      </c>
      <c r="AC25" s="123">
        <f t="shared" si="29"/>
        <v>0.4</v>
      </c>
      <c r="AD25" s="126" t="str">
        <f t="shared" si="30"/>
        <v>Moderado</v>
      </c>
      <c r="AE25" s="122"/>
      <c r="AF25" s="136" t="s">
        <v>191</v>
      </c>
      <c r="AG25" s="116" t="s">
        <v>160</v>
      </c>
      <c r="AH25" s="127" t="s">
        <v>122</v>
      </c>
      <c r="AI25" s="118">
        <v>45656</v>
      </c>
      <c r="AJ25" s="117" t="s">
        <v>114</v>
      </c>
      <c r="AK25" s="116" t="s">
        <v>298</v>
      </c>
      <c r="AL25" s="141" t="s">
        <v>329</v>
      </c>
      <c r="AM25" s="140" t="s">
        <v>330</v>
      </c>
      <c r="AN25" s="141" t="s">
        <v>329</v>
      </c>
      <c r="AO25" s="140" t="s">
        <v>330</v>
      </c>
      <c r="AP25" s="141" t="s">
        <v>329</v>
      </c>
      <c r="AQ25" s="140" t="s">
        <v>330</v>
      </c>
      <c r="AR25" s="141" t="s">
        <v>329</v>
      </c>
      <c r="AS25" s="140" t="s">
        <v>330</v>
      </c>
      <c r="AT25" s="162" t="s">
        <v>382</v>
      </c>
      <c r="AU25" s="139"/>
      <c r="AV25" s="139"/>
      <c r="AW25" s="50"/>
      <c r="AX25" s="50"/>
      <c r="AY25" s="50"/>
      <c r="AZ25" s="50"/>
      <c r="BA25" s="50"/>
      <c r="BB25" s="50"/>
      <c r="BC25" s="50"/>
      <c r="BD25" s="50"/>
      <c r="BE25" s="50"/>
      <c r="BF25" s="50"/>
      <c r="BG25" s="50"/>
      <c r="BH25" s="50"/>
      <c r="BI25" s="50"/>
      <c r="BJ25" s="50"/>
      <c r="BK25" s="50"/>
      <c r="BL25" s="50"/>
      <c r="BM25" s="50"/>
      <c r="BN25" s="50"/>
      <c r="BO25" s="50"/>
      <c r="BP25" s="50"/>
      <c r="BQ25" s="50"/>
      <c r="BR25" s="50"/>
      <c r="BS25" s="50"/>
    </row>
    <row r="26" spans="1:71" ht="160.19999999999999" customHeight="1" x14ac:dyDescent="0.25">
      <c r="A26" s="119">
        <v>16</v>
      </c>
      <c r="B26" s="119" t="s">
        <v>192</v>
      </c>
      <c r="C26" s="117" t="s">
        <v>101</v>
      </c>
      <c r="D26" s="117" t="s">
        <v>193</v>
      </c>
      <c r="E26" s="117" t="s">
        <v>340</v>
      </c>
      <c r="F26" s="117" t="s">
        <v>341</v>
      </c>
      <c r="G26" s="117" t="s">
        <v>181</v>
      </c>
      <c r="H26" s="116">
        <v>30</v>
      </c>
      <c r="I26" s="146" t="str">
        <f>IF(H26&lt;=0,"",IF(H26&lt;=2,"Muy Baja",IF(H26&lt;=24,"Baja",IF(H26&lt;=500,"Media",IF(H26&lt;=5000,"Alta","Muy Alta")))))</f>
        <v>Media</v>
      </c>
      <c r="J26" s="147">
        <f t="shared" si="32"/>
        <v>0.6</v>
      </c>
      <c r="K26" s="131" t="s">
        <v>106</v>
      </c>
      <c r="L26" s="129" t="str">
        <f>IF(NOT(ISERROR(MATCH(K26,'Tabla Impacto'!$B$221:$B$223,0))),'Tabla Impacto'!$F$223&amp;"Por favor no seleccionar los criterios de impacto(Afectación Económica o presupuestal y Pérdida Reputacional)",K26)</f>
        <v xml:space="preserve">     El riesgo afecta la imagen de la entidad internamente, de conocimiento general, nivel interno, de junta dircetiva y accionistas y/o de provedores</v>
      </c>
      <c r="M26" s="146" t="str">
        <f>IF(OR(L26='Tabla Impacto'!$C$11,L26='Tabla Impacto'!$D$11),"Leve",IF(OR(L26='Tabla Impacto'!$C$12,L26='Tabla Impacto'!$D$12),"Menor",IF(OR(L26='Tabla Impacto'!$C$13,L26='Tabla Impacto'!$D$13),"Moderado",IF(OR(L26='Tabla Impacto'!$C$14,L26='Tabla Impacto'!$D$14),"Mayor",IF(OR(L26='Tabla Impacto'!$C$15,L26='Tabla Impacto'!$D$15),"Catastrófico","")))))</f>
        <v>Menor</v>
      </c>
      <c r="N26" s="129">
        <f t="shared" si="33"/>
        <v>0.4</v>
      </c>
      <c r="O26" s="148" t="str">
        <f t="shared" si="34"/>
        <v>Moderado</v>
      </c>
      <c r="P26" s="119">
        <v>1</v>
      </c>
      <c r="Q26" s="136" t="s">
        <v>194</v>
      </c>
      <c r="R26" s="121" t="str">
        <f t="shared" si="1"/>
        <v>Probabilidad</v>
      </c>
      <c r="S26" s="122" t="s">
        <v>108</v>
      </c>
      <c r="T26" s="122" t="s">
        <v>109</v>
      </c>
      <c r="U26" s="123" t="str">
        <f t="shared" si="2"/>
        <v>40%</v>
      </c>
      <c r="V26" s="122" t="s">
        <v>110</v>
      </c>
      <c r="W26" s="122" t="s">
        <v>111</v>
      </c>
      <c r="X26" s="122" t="s">
        <v>112</v>
      </c>
      <c r="Y26" s="149">
        <f t="shared" si="25"/>
        <v>0.36</v>
      </c>
      <c r="Z26" s="150" t="str">
        <f t="shared" si="26"/>
        <v>Baja</v>
      </c>
      <c r="AA26" s="123">
        <f t="shared" si="27"/>
        <v>0.36</v>
      </c>
      <c r="AB26" s="150" t="str">
        <f t="shared" si="28"/>
        <v>Menor</v>
      </c>
      <c r="AC26" s="123">
        <f t="shared" si="29"/>
        <v>0.4</v>
      </c>
      <c r="AD26" s="151" t="str">
        <f t="shared" si="30"/>
        <v>Moderado</v>
      </c>
      <c r="AE26" s="122"/>
      <c r="AF26" s="136" t="s">
        <v>195</v>
      </c>
      <c r="AG26" s="116" t="s">
        <v>160</v>
      </c>
      <c r="AH26" s="127" t="s">
        <v>122</v>
      </c>
      <c r="AI26" s="118">
        <v>45656</v>
      </c>
      <c r="AJ26" s="117" t="s">
        <v>129</v>
      </c>
      <c r="AK26" s="116" t="s">
        <v>298</v>
      </c>
      <c r="AL26" s="173" t="s">
        <v>351</v>
      </c>
      <c r="AM26" s="173" t="s">
        <v>350</v>
      </c>
      <c r="AN26" s="176" t="s">
        <v>369</v>
      </c>
      <c r="AO26" s="177" t="s">
        <v>342</v>
      </c>
      <c r="AP26" s="178" t="s">
        <v>368</v>
      </c>
      <c r="AQ26" s="177" t="s">
        <v>352</v>
      </c>
      <c r="AR26" s="178" t="s">
        <v>367</v>
      </c>
      <c r="AS26" s="177" t="s">
        <v>352</v>
      </c>
      <c r="AT26" s="162" t="s">
        <v>382</v>
      </c>
      <c r="AU26" s="139"/>
      <c r="AV26" s="139"/>
      <c r="AW26" s="50"/>
      <c r="AX26" s="50"/>
      <c r="AY26" s="50"/>
      <c r="AZ26" s="50"/>
      <c r="BA26" s="50"/>
      <c r="BB26" s="50"/>
      <c r="BC26" s="50"/>
      <c r="BD26" s="50"/>
      <c r="BE26" s="50"/>
      <c r="BF26" s="50"/>
      <c r="BG26" s="50"/>
      <c r="BH26" s="50"/>
      <c r="BI26" s="50"/>
      <c r="BJ26" s="50"/>
      <c r="BK26" s="50"/>
      <c r="BL26" s="50"/>
      <c r="BM26" s="50"/>
      <c r="BN26" s="50"/>
      <c r="BO26" s="50"/>
      <c r="BP26" s="50"/>
      <c r="BQ26" s="50"/>
      <c r="BR26" s="50"/>
      <c r="BS26" s="50"/>
    </row>
    <row r="27" spans="1:71" ht="100.2" customHeight="1" x14ac:dyDescent="0.25">
      <c r="A27" s="119">
        <v>17</v>
      </c>
      <c r="B27" s="130" t="s">
        <v>196</v>
      </c>
      <c r="C27" s="117" t="s">
        <v>101</v>
      </c>
      <c r="D27" s="117" t="s">
        <v>197</v>
      </c>
      <c r="E27" s="117" t="s">
        <v>318</v>
      </c>
      <c r="F27" s="117" t="s">
        <v>198</v>
      </c>
      <c r="G27" s="117" t="s">
        <v>105</v>
      </c>
      <c r="H27" s="116">
        <v>15</v>
      </c>
      <c r="I27" s="128" t="str">
        <f>IF(H27&lt;=0,"",IF(H27&lt;=2,"Muy Baja",IF(H27&lt;=24,"Baja",IF(H27&lt;=500,"Media",IF(H27&lt;=5000,"Alta","Muy Alta")))))</f>
        <v>Baja</v>
      </c>
      <c r="J27" s="129">
        <f t="shared" si="32"/>
        <v>0.4</v>
      </c>
      <c r="K27" s="131" t="s">
        <v>133</v>
      </c>
      <c r="L27" s="129" t="str">
        <f>IF(NOT(ISERROR(MATCH(K27,_xlfn.ANCHORARRAY(#REF!),0))),#REF!&amp;"Por favor no seleccionar los criterios de impacto",K27)</f>
        <v xml:space="preserve">     El riesgo afecta la imagen de la entidad con algunos usuarios de relevancia frente al logro de los objetivos</v>
      </c>
      <c r="M27" s="128" t="str">
        <f>IF(OR(L27='Tabla Impacto'!$C$11,L27='Tabla Impacto'!$D$11),"Leve",IF(OR(L27='Tabla Impacto'!$C$12,L27='Tabla Impacto'!$D$12),"Menor",IF(OR(L27='Tabla Impacto'!$C$13,L27='Tabla Impacto'!$D$13),"Moderado",IF(OR(L27='Tabla Impacto'!$C$14,L27='Tabla Impacto'!$D$14),"Mayor",IF(OR(L27='Tabla Impacto'!$C$15,L27='Tabla Impacto'!$D$15),"Catastrófico","")))))</f>
        <v>Moderado</v>
      </c>
      <c r="N27" s="129">
        <f t="shared" si="33"/>
        <v>0.6</v>
      </c>
      <c r="O27" s="132" t="str">
        <f t="shared" si="34"/>
        <v>Moderado</v>
      </c>
      <c r="P27" s="119">
        <v>2</v>
      </c>
      <c r="Q27" s="136" t="s">
        <v>199</v>
      </c>
      <c r="R27" s="121" t="str">
        <f t="shared" si="1"/>
        <v>Probabilidad</v>
      </c>
      <c r="S27" s="122" t="s">
        <v>108</v>
      </c>
      <c r="T27" s="122" t="s">
        <v>109</v>
      </c>
      <c r="U27" s="123" t="str">
        <f t="shared" si="2"/>
        <v>40%</v>
      </c>
      <c r="V27" s="122" t="s">
        <v>110</v>
      </c>
      <c r="W27" s="122" t="s">
        <v>111</v>
      </c>
      <c r="X27" s="122" t="s">
        <v>112</v>
      </c>
      <c r="Y27" s="124">
        <f t="shared" si="25"/>
        <v>0.24</v>
      </c>
      <c r="Z27" s="125" t="str">
        <f t="shared" si="26"/>
        <v>Baja</v>
      </c>
      <c r="AA27" s="123">
        <f t="shared" si="27"/>
        <v>0.24</v>
      </c>
      <c r="AB27" s="125" t="str">
        <f t="shared" si="28"/>
        <v>Moderado</v>
      </c>
      <c r="AC27" s="123">
        <f t="shared" si="29"/>
        <v>0.6</v>
      </c>
      <c r="AD27" s="126" t="str">
        <f t="shared" si="30"/>
        <v>Moderado</v>
      </c>
      <c r="AE27" s="122"/>
      <c r="AF27" s="136" t="s">
        <v>200</v>
      </c>
      <c r="AG27" s="117" t="s">
        <v>201</v>
      </c>
      <c r="AH27" s="127" t="s">
        <v>122</v>
      </c>
      <c r="AI27" s="118">
        <v>45656</v>
      </c>
      <c r="AJ27" s="117" t="s">
        <v>129</v>
      </c>
      <c r="AK27" s="116" t="s">
        <v>298</v>
      </c>
      <c r="AL27" s="139"/>
      <c r="AM27" s="139"/>
      <c r="AN27" s="169"/>
      <c r="AO27" s="139"/>
      <c r="AP27" s="168"/>
      <c r="AQ27" s="139"/>
      <c r="AR27" s="139"/>
      <c r="AS27" s="139"/>
      <c r="AT27" s="162" t="s">
        <v>383</v>
      </c>
      <c r="AU27" s="139"/>
      <c r="AV27" s="139"/>
      <c r="AW27" s="50"/>
      <c r="AX27" s="50"/>
      <c r="AY27" s="50"/>
      <c r="AZ27" s="50"/>
      <c r="BA27" s="50"/>
      <c r="BB27" s="50"/>
      <c r="BC27" s="50"/>
      <c r="BD27" s="50"/>
      <c r="BE27" s="50"/>
      <c r="BF27" s="50"/>
      <c r="BG27" s="50"/>
      <c r="BH27" s="50"/>
      <c r="BI27" s="50"/>
      <c r="BJ27" s="50"/>
      <c r="BK27" s="50"/>
      <c r="BL27" s="50"/>
      <c r="BM27" s="50"/>
      <c r="BN27" s="50"/>
      <c r="BO27" s="50"/>
      <c r="BP27" s="50"/>
      <c r="BQ27" s="50"/>
      <c r="BR27" s="50"/>
      <c r="BS27" s="50"/>
    </row>
    <row r="28" spans="1:71" ht="58.95" customHeight="1" x14ac:dyDescent="0.25">
      <c r="A28" s="47"/>
      <c r="B28" s="47"/>
      <c r="C28" s="47"/>
      <c r="D28" s="47"/>
      <c r="E28" s="47"/>
      <c r="F28" s="133"/>
      <c r="G28" s="133"/>
    </row>
    <row r="29" spans="1:71" ht="15.6" x14ac:dyDescent="0.25">
      <c r="C29" s="219"/>
      <c r="D29" s="219"/>
      <c r="F29" s="219"/>
      <c r="G29" s="219"/>
      <c r="K29" s="219"/>
      <c r="L29" s="219"/>
      <c r="Q29" s="57"/>
      <c r="R29" s="57"/>
      <c r="AF29" s="219"/>
      <c r="AG29" s="219"/>
    </row>
    <row r="30" spans="1:71" ht="15.6" x14ac:dyDescent="0.25">
      <c r="C30" s="220"/>
      <c r="D30" s="220"/>
      <c r="F30" s="220"/>
      <c r="G30" s="220"/>
      <c r="K30" s="220"/>
      <c r="L30" s="220"/>
      <c r="Q30" s="137"/>
      <c r="R30" s="137"/>
      <c r="AF30" s="220"/>
      <c r="AG30" s="220"/>
    </row>
  </sheetData>
  <sheetProtection algorithmName="SHA-512" hashValue="4+qaFevhuTftnTyrQtSAy0DtcZsnfVu/v/bFRqOnh5jKT/qsOeZO4RH+XYEJDRAlK18s+7pPLigLMO6BRjVFVg==" saltValue="v5uYvueYODJHF9564geo3g==" spinCount="100000" sheet="1" objects="1" scenarios="1" selectLockedCells="1" selectUnlockedCells="1"/>
  <dataConsolidate/>
  <mergeCells count="72">
    <mergeCell ref="D5:O5"/>
    <mergeCell ref="P5:R5"/>
    <mergeCell ref="A8:H8"/>
    <mergeCell ref="I8:O8"/>
    <mergeCell ref="P8:X8"/>
    <mergeCell ref="A5:C5"/>
    <mergeCell ref="A6:C6"/>
    <mergeCell ref="A7:C7"/>
    <mergeCell ref="D6:O6"/>
    <mergeCell ref="D7:O7"/>
    <mergeCell ref="A1:L3"/>
    <mergeCell ref="M1:O1"/>
    <mergeCell ref="P1:AI3"/>
    <mergeCell ref="M2:O2"/>
    <mergeCell ref="M3:O3"/>
    <mergeCell ref="R9:R10"/>
    <mergeCell ref="S9:X9"/>
    <mergeCell ref="AJ1:AK1"/>
    <mergeCell ref="AJ2:AK2"/>
    <mergeCell ref="AJ3:AK3"/>
    <mergeCell ref="Y8:AE8"/>
    <mergeCell ref="AF8:AK8"/>
    <mergeCell ref="B11:B13"/>
    <mergeCell ref="AF9:AF10"/>
    <mergeCell ref="AK9:AK10"/>
    <mergeCell ref="AJ9:AJ10"/>
    <mergeCell ref="AI9:AI10"/>
    <mergeCell ref="AH9:AH10"/>
    <mergeCell ref="AG9:AG10"/>
    <mergeCell ref="AE9:AE10"/>
    <mergeCell ref="P9:P10"/>
    <mergeCell ref="AD9:AD10"/>
    <mergeCell ref="AC9:AC10"/>
    <mergeCell ref="Y9:Y10"/>
    <mergeCell ref="Q9:Q10"/>
    <mergeCell ref="AB9:AB10"/>
    <mergeCell ref="Z9:Z10"/>
    <mergeCell ref="AA9:AA10"/>
    <mergeCell ref="C9:C10"/>
    <mergeCell ref="A9:A10"/>
    <mergeCell ref="G9:G10"/>
    <mergeCell ref="F9:F10"/>
    <mergeCell ref="E9:E10"/>
    <mergeCell ref="D9:D10"/>
    <mergeCell ref="O9:O10"/>
    <mergeCell ref="K9:K10"/>
    <mergeCell ref="L9:L10"/>
    <mergeCell ref="N9:N10"/>
    <mergeCell ref="H9:H10"/>
    <mergeCell ref="I9:I10"/>
    <mergeCell ref="J9:J10"/>
    <mergeCell ref="M9:M10"/>
    <mergeCell ref="B22:B24"/>
    <mergeCell ref="AF29:AG29"/>
    <mergeCell ref="AF30:AG30"/>
    <mergeCell ref="C29:D29"/>
    <mergeCell ref="C30:D30"/>
    <mergeCell ref="K29:L29"/>
    <mergeCell ref="K30:L30"/>
    <mergeCell ref="F29:G29"/>
    <mergeCell ref="F30:G30"/>
    <mergeCell ref="AL8:AR8"/>
    <mergeCell ref="AT8:AV8"/>
    <mergeCell ref="AL9:AL10"/>
    <mergeCell ref="AM9:AM10"/>
    <mergeCell ref="AN9:AN10"/>
    <mergeCell ref="AO9:AO10"/>
    <mergeCell ref="AP9:AP10"/>
    <mergeCell ref="AR9:AR10"/>
    <mergeCell ref="AT9:AT10"/>
    <mergeCell ref="AU9:AU10"/>
    <mergeCell ref="AV9:AV10"/>
  </mergeCells>
  <phoneticPr fontId="68" type="noConversion"/>
  <conditionalFormatting sqref="I11:I14 Z11:Z27">
    <cfRule type="cellIs" dxfId="19" priority="332" operator="equal">
      <formula>"Muy Alta"</formula>
    </cfRule>
    <cfRule type="cellIs" dxfId="18" priority="333" operator="equal">
      <formula>"Alta"</formula>
    </cfRule>
    <cfRule type="cellIs" dxfId="17" priority="334" operator="equal">
      <formula>"Media"</formula>
    </cfRule>
    <cfRule type="cellIs" dxfId="16" priority="335" operator="equal">
      <formula>"Baja"</formula>
    </cfRule>
    <cfRule type="cellIs" dxfId="15" priority="336" operator="equal">
      <formula>"Muy Baja"</formula>
    </cfRule>
  </conditionalFormatting>
  <conditionalFormatting sqref="I20:I27">
    <cfRule type="cellIs" dxfId="14" priority="9" operator="equal">
      <formula>"Muy Alta"</formula>
    </cfRule>
    <cfRule type="cellIs" dxfId="13" priority="10" operator="equal">
      <formula>"Alta"</formula>
    </cfRule>
    <cfRule type="cellIs" dxfId="12" priority="11" operator="equal">
      <formula>"Media"</formula>
    </cfRule>
    <cfRule type="cellIs" dxfId="11" priority="12" operator="equal">
      <formula>"Baja"</formula>
    </cfRule>
    <cfRule type="cellIs" dxfId="10" priority="13" operator="equal">
      <formula>"Muy Baja"</formula>
    </cfRule>
  </conditionalFormatting>
  <conditionalFormatting sqref="L11:L27">
    <cfRule type="containsText" dxfId="9" priority="14" operator="containsText" text="❌">
      <formula>NOT(ISERROR(SEARCH("❌",L11)))</formula>
    </cfRule>
  </conditionalFormatting>
  <conditionalFormatting sqref="M11:M27 AB11:AB27">
    <cfRule type="cellIs" dxfId="8" priority="327" operator="equal">
      <formula>"Catastrófico"</formula>
    </cfRule>
    <cfRule type="cellIs" dxfId="7" priority="328" operator="equal">
      <formula>"Mayor"</formula>
    </cfRule>
    <cfRule type="cellIs" dxfId="6" priority="329" operator="equal">
      <formula>"Moderado"</formula>
    </cfRule>
    <cfRule type="cellIs" dxfId="5" priority="330" operator="equal">
      <formula>"Menor"</formula>
    </cfRule>
    <cfRule type="cellIs" dxfId="4" priority="331" operator="equal">
      <formula>"Leve"</formula>
    </cfRule>
  </conditionalFormatting>
  <conditionalFormatting sqref="O11:O27 AD11:AD27">
    <cfRule type="cellIs" dxfId="3" priority="5" operator="equal">
      <formula>"Extremo"</formula>
    </cfRule>
    <cfRule type="cellIs" dxfId="2" priority="6" operator="equal">
      <formula>"Alto"</formula>
    </cfRule>
    <cfRule type="cellIs" dxfId="1" priority="7" operator="equal">
      <formula>"Moderado"</formula>
    </cfRule>
    <cfRule type="cellIs" dxfId="0" priority="8" operator="equal">
      <formula>"Bajo"</formula>
    </cfRule>
  </conditionalFormatting>
  <hyperlinks>
    <hyperlink ref="AN14" r:id="rId1" xr:uid="{00000000-0004-0000-0100-000000000000}"/>
    <hyperlink ref="AN25" r:id="rId2" xr:uid="{00000000-0004-0000-0100-000001000000}"/>
    <hyperlink ref="AN11" r:id="rId3" xr:uid="{00000000-0004-0000-0100-000002000000}"/>
    <hyperlink ref="AN19" r:id="rId4" xr:uid="{00000000-0004-0000-0100-000003000000}"/>
    <hyperlink ref="AN15" r:id="rId5" xr:uid="{00000000-0004-0000-0100-000004000000}"/>
    <hyperlink ref="AN17" r:id="rId6" xr:uid="{00000000-0004-0000-0100-000005000000}"/>
    <hyperlink ref="AN20" r:id="rId7" display="https://drive.google.com/file/d/16XOCSevykH5bvvdLb8gi4FuxpFYcympa/view?usp=sharing" xr:uid="{00000000-0004-0000-0100-000006000000}"/>
    <hyperlink ref="AP20" r:id="rId8" xr:uid="{00000000-0004-0000-0100-000007000000}"/>
    <hyperlink ref="AL11" r:id="rId9" xr:uid="{00000000-0004-0000-0100-000008000000}"/>
    <hyperlink ref="AP11" r:id="rId10" xr:uid="{00000000-0004-0000-0100-000009000000}"/>
    <hyperlink ref="AR11" r:id="rId11" xr:uid="{00000000-0004-0000-0100-00000A000000}"/>
    <hyperlink ref="AL13" r:id="rId12" xr:uid="{00000000-0004-0000-0100-00000B000000}"/>
    <hyperlink ref="AP17" r:id="rId13" xr:uid="{00000000-0004-0000-0100-00000C000000}"/>
    <hyperlink ref="AR17" r:id="rId14" xr:uid="{00000000-0004-0000-0100-00000D000000}"/>
    <hyperlink ref="AP15" r:id="rId15" xr:uid="{00000000-0004-0000-0100-00000E000000}"/>
    <hyperlink ref="AR15" r:id="rId16" xr:uid="{00000000-0004-0000-0100-00000F000000}"/>
    <hyperlink ref="AL19" r:id="rId17" xr:uid="{00000000-0004-0000-0100-000010000000}"/>
    <hyperlink ref="AP19" r:id="rId18" xr:uid="{00000000-0004-0000-0100-000011000000}"/>
    <hyperlink ref="AR19" r:id="rId19" xr:uid="{00000000-0004-0000-0100-000012000000}"/>
    <hyperlink ref="AN21" r:id="rId20" xr:uid="{00000000-0004-0000-0100-000013000000}"/>
    <hyperlink ref="AL21" r:id="rId21" xr:uid="{00000000-0004-0000-0100-000014000000}"/>
    <hyperlink ref="AP21" r:id="rId22" xr:uid="{00000000-0004-0000-0100-000015000000}"/>
    <hyperlink ref="AR21" r:id="rId23" xr:uid="{00000000-0004-0000-0100-000016000000}"/>
    <hyperlink ref="AL25" r:id="rId24" xr:uid="{00000000-0004-0000-0100-000017000000}"/>
    <hyperlink ref="AP25" r:id="rId25" xr:uid="{00000000-0004-0000-0100-000018000000}"/>
    <hyperlink ref="AR25" r:id="rId26" xr:uid="{00000000-0004-0000-0100-000019000000}"/>
    <hyperlink ref="AL14" r:id="rId27" xr:uid="{00000000-0004-0000-0100-00001A000000}"/>
    <hyperlink ref="AP14" r:id="rId28" xr:uid="{22C0B354-6B59-4A80-89B0-76833A6A52B6}"/>
    <hyperlink ref="AR14" r:id="rId29" xr:uid="{CD41EAB9-11EE-401B-AD96-F1293D6E83E8}"/>
    <hyperlink ref="AR26" r:id="rId30" xr:uid="{913C5514-AEC6-4AFE-ABF4-F583A3EE48B6}"/>
    <hyperlink ref="AP26" r:id="rId31" xr:uid="{58E5C5CA-7B93-4638-83C5-BF22D38F1307}"/>
    <hyperlink ref="AN26" r:id="rId32" xr:uid="{7F2361B3-D789-471F-9AA7-16D2F58F6A21}"/>
    <hyperlink ref="AR20" r:id="rId33" xr:uid="{BCF5DA1A-1DC6-42F2-A81A-C5E49C819133}"/>
    <hyperlink ref="AL18" r:id="rId34" xr:uid="{41C687EE-0793-4835-A297-DCCDA1AF2F0C}"/>
    <hyperlink ref="AN18" r:id="rId35" xr:uid="{6E77CF9F-0B90-4D5E-A7AC-E32288DC948B}"/>
    <hyperlink ref="AP18" r:id="rId36" xr:uid="{9158228B-E463-4302-A40D-DCF95558DE5A}"/>
    <hyperlink ref="AR18" r:id="rId37" xr:uid="{0A5C086B-FE7C-4FF4-8286-CC94FF591E03}"/>
    <hyperlink ref="AL22" r:id="rId38" xr:uid="{04015A86-C3E8-479F-ADCE-B1C3D2D9F910}"/>
    <hyperlink ref="AN22" r:id="rId39" xr:uid="{91E4D5BC-ABC2-4568-A3CF-CC7F4C90C931}"/>
    <hyperlink ref="AP22" r:id="rId40" xr:uid="{DC8CA559-8617-4561-BF38-7CEA47C8C460}"/>
    <hyperlink ref="AR22" r:id="rId41" xr:uid="{842FC534-3B78-4241-849D-A5EBE5A1E9BE}"/>
    <hyperlink ref="AL23" r:id="rId42" display="https://corvivienda-my.sharepoint.com/:x:/g/personal/atencionalusuario_2_corvivienda_gov_co/ERTzeyjam5hFnXX1Fctjv7sBSaMcXS3s4Be5Vp7F2d4JUA?e=N23eA6" xr:uid="{0CFE500F-9FF0-4874-BB42-9089B1F46EEC}"/>
    <hyperlink ref="AN23" r:id="rId43" display="https://corvivienda-my.sharepoint.com/:x:/g/personal/atencionalusuario_2_corvivienda_gov_co/ERTzeyjam5hFnXX1Fctjv7sBSaMcXS3s4Be5Vp7F2d4JUA?e=N23eA6" xr:uid="{FF097F66-3FBE-4AE3-9153-7875D1701C79}"/>
    <hyperlink ref="AP23" r:id="rId44" display="https://corvivienda-my.sharepoint.com/:x:/g/personal/atencionalusuario_2_corvivienda_gov_co/ERTzeyjam5hFnXX1Fctjv7sBSaMcXS3s4Be5Vp7F2d4JUA?e=N23eA6" xr:uid="{D5254A6D-2FE5-4204-9232-BF6CA1A9AE0B}"/>
    <hyperlink ref="AR23" r:id="rId45" display="https://corvivienda-my.sharepoint.com/:x:/g/personal/atencionalusuario_2_corvivienda_gov_co/ERTzeyjam5hFnXX1Fctjv7sBSaMcXS3s4Be5Vp7F2d4JUA?e=N23eA6" xr:uid="{177F8B7F-9BAA-4F8B-A140-2DBCD4CCB55D}"/>
    <hyperlink ref="AL24" r:id="rId46" xr:uid="{57F98DBB-F046-47B9-910A-948BA3EC5F4D}"/>
    <hyperlink ref="AN24" r:id="rId47" xr:uid="{377B0115-FEF9-451C-B5DC-AAE77EB2E868}"/>
    <hyperlink ref="AP24" r:id="rId48" xr:uid="{5AD4E99B-4A58-45AA-BA2C-FE3A079D5320}"/>
    <hyperlink ref="AR24" r:id="rId49" xr:uid="{B4176B04-901F-4979-B8AD-63F17B5423AB}"/>
  </hyperlinks>
  <printOptions horizontalCentered="1"/>
  <pageMargins left="0.19685039370078741" right="0.19685039370078741" top="0.39370078740157483" bottom="0.39370078740157483" header="0.19685039370078741" footer="0.19685039370078741"/>
  <pageSetup paperSize="281" scale="35" fitToWidth="0" fitToHeight="0" orientation="landscape" r:id="rId50"/>
  <headerFooter>
    <oddFooter>&amp;C&amp;"Arial,Normal"&amp;26Página &amp;P de &amp;N</oddFooter>
  </headerFooter>
  <rowBreaks count="1" manualBreakCount="1">
    <brk id="18" max="38" man="1"/>
  </rowBreaks>
  <colBreaks count="1" manualBreakCount="1">
    <brk id="15" max="29" man="1"/>
  </colBreaks>
  <drawing r:id="rId51"/>
  <extLst>
    <ext xmlns:x14="http://schemas.microsoft.com/office/spreadsheetml/2009/9/main" uri="{CCE6A557-97BC-4b89-ADB6-D9C93CAAB3DF}">
      <x14:dataValidations xmlns:xm="http://schemas.microsoft.com/office/excel/2006/main" count="16">
        <x14:dataValidation type="custom" allowBlank="1" showInputMessage="1" showErrorMessage="1" error="Recuerde que las acciones se generan bajo la medida de mitigar el riesgo" xr:uid="{00000000-0002-0000-0100-000000000000}">
          <x14:formula1>
            <xm:f>IF(OR(AE11='Opciones Tratamiento'!$B$2,AE11='Opciones Tratamiento'!$B$3,AE11='Opciones Tratamiento'!$B$4),ISBLANK(AE11),ISTEXT(AE11))</xm:f>
          </x14:formula1>
          <xm:sqref>AI21:AI27 AI11:AI19 AH11:AH27</xm:sqref>
        </x14:dataValidation>
        <x14:dataValidation type="custom" allowBlank="1" showInputMessage="1" showErrorMessage="1" error="Recuerde que las acciones se generan bajo la medida de mitigar el riesgo" xr:uid="{00000000-0002-0000-0100-000001000000}">
          <x14:formula1>
            <xm:f>IF(OR(AE11='Opciones Tratamiento'!$B$2,AE11='Opciones Tratamiento'!$B$3,AE11='Opciones Tratamiento'!$B$4),ISBLANK(AE11),ISTEXT(AE11))</xm:f>
          </x14:formula1>
          <xm:sqref>AI20 AJ19:AJ21 AJ11</xm:sqref>
        </x14:dataValidation>
        <x14:dataValidation type="custom" allowBlank="1" showInputMessage="1" showErrorMessage="1" error="Recuerde que las acciones se generan bajo la medida de mitigar el riesgo" xr:uid="{00000000-0002-0000-0100-000002000000}">
          <x14:formula1>
            <xm:f>IF(OR(AE12='Opciones Tratamiento'!$B$2,AE12='Opciones Tratamiento'!$B$3,AE12='Opciones Tratamiento'!$B$4),ISBLANK(AE12),ISTEXT(AE12))</xm:f>
          </x14:formula1>
          <xm:sqref>AJ22:AJ27 AJ18 AJ12:AJ15</xm:sqref>
        </x14:dataValidation>
        <x14:dataValidation type="custom" allowBlank="1" showInputMessage="1" showErrorMessage="1" error="Recuerde que las acciones se generan bajo la medida de mitigar el riesgo" xr:uid="{00000000-0002-0000-0100-000003000000}">
          <x14:formula1>
            <xm:f>IF(OR(AE15='Opciones Tratamiento'!$B$2,AE15='Opciones Tratamiento'!$B$3,AE15='Opciones Tratamiento'!$B$4),ISBLANK(AE15),ISTEXT(AE15))</xm:f>
          </x14:formula1>
          <xm:sqref>AJ16</xm:sqref>
        </x14:dataValidation>
        <x14:dataValidation type="list" allowBlank="1" showInputMessage="1" showErrorMessage="1" xr:uid="{00000000-0002-0000-0100-000005000000}">
          <x14:formula1>
            <xm:f>'Opciones Tratamiento'!$B$9:$B$10</xm:f>
          </x14:formula1>
          <xm:sqref>AK11:AK27</xm:sqref>
        </x14:dataValidation>
        <x14:dataValidation type="list" allowBlank="1" showInputMessage="1" showErrorMessage="1" xr:uid="{00000000-0002-0000-0100-000006000000}">
          <x14:formula1>
            <xm:f>'Tabla Valoración controles'!$D$4:$D$6</xm:f>
          </x14:formula1>
          <xm:sqref>S11:S27</xm:sqref>
        </x14:dataValidation>
        <x14:dataValidation type="list" allowBlank="1" showInputMessage="1" showErrorMessage="1" xr:uid="{00000000-0002-0000-0100-000007000000}">
          <x14:formula1>
            <xm:f>'Tabla Valoración controles'!$D$7:$D$8</xm:f>
          </x14:formula1>
          <xm:sqref>T11:T27</xm:sqref>
        </x14:dataValidation>
        <x14:dataValidation type="list" allowBlank="1" showInputMessage="1" showErrorMessage="1" xr:uid="{00000000-0002-0000-0100-000008000000}">
          <x14:formula1>
            <xm:f>'Tabla Valoración controles'!$D$9:$D$10</xm:f>
          </x14:formula1>
          <xm:sqref>V11:V27</xm:sqref>
        </x14:dataValidation>
        <x14:dataValidation type="list" allowBlank="1" showInputMessage="1" showErrorMessage="1" xr:uid="{00000000-0002-0000-0100-000009000000}">
          <x14:formula1>
            <xm:f>'Tabla Valoración controles'!$D$11:$D$12</xm:f>
          </x14:formula1>
          <xm:sqref>W11:W27</xm:sqref>
        </x14:dataValidation>
        <x14:dataValidation type="list" allowBlank="1" showInputMessage="1" showErrorMessage="1" xr:uid="{00000000-0002-0000-0100-00000A000000}">
          <x14:formula1>
            <xm:f>'Tabla Valoración controles'!$D$13:$D$14</xm:f>
          </x14:formula1>
          <xm:sqref>X11:X27</xm:sqref>
        </x14:dataValidation>
        <x14:dataValidation type="list" allowBlank="1" showInputMessage="1" showErrorMessage="1" xr:uid="{00000000-0002-0000-0100-00000B000000}">
          <x14:formula1>
            <xm:f>'Opciones Tratamiento'!$B$13:$B$19</xm:f>
          </x14:formula1>
          <xm:sqref>G11:G27</xm:sqref>
        </x14:dataValidation>
        <x14:dataValidation type="list" allowBlank="1" showInputMessage="1" showErrorMessage="1" xr:uid="{00000000-0002-0000-0100-00000C000000}">
          <x14:formula1>
            <xm:f>'Opciones Tratamiento'!$E$2:$E$4</xm:f>
          </x14:formula1>
          <xm:sqref>C11:C27</xm:sqref>
        </x14:dataValidation>
        <x14:dataValidation type="list" allowBlank="1" showInputMessage="1" showErrorMessage="1" xr:uid="{00000000-0002-0000-0100-00000D000000}">
          <x14:formula1>
            <xm:f>'Opciones Tratamiento'!$B$2:$B$5</xm:f>
          </x14:formula1>
          <xm:sqref>AE11:AE27</xm:sqref>
        </x14:dataValidation>
        <x14:dataValidation type="list" allowBlank="1" showInputMessage="1" showErrorMessage="1" xr:uid="{00000000-0002-0000-0100-00000E000000}">
          <x14:formula1>
            <xm:f>'Tabla Impacto'!$F$210:$F$221</xm:f>
          </x14:formula1>
          <xm:sqref>K11:K27</xm:sqref>
        </x14:dataValidation>
        <x14:dataValidation type="custom" allowBlank="1" showInputMessage="1" showErrorMessage="1" error="Recuerde que las acciones se generan bajo la medida de mitigar el riesgo" xr:uid="{00000000-0002-0000-0100-00000F000000}">
          <x14:formula1>
            <xm:f>IF(OR(AE11='Opciones Tratamiento'!$B$2,AE11='Opciones Tratamiento'!$B$3,AE11='Opciones Tratamiento'!$B$4),ISBLANK(AE11),ISTEXT(AE11))</xm:f>
          </x14:formula1>
          <xm:sqref>AF11:AF27</xm:sqref>
        </x14:dataValidation>
        <x14:dataValidation type="custom" allowBlank="1" showInputMessage="1" showErrorMessage="1" error="Recuerde que las acciones se generan bajo la medida de mitigar el riesgo" xr:uid="{00000000-0002-0000-0100-000010000000}">
          <x14:formula1>
            <xm:f>IF(OR(AE11='Opciones Tratamiento'!$B$2,AE11='Opciones Tratamiento'!$B$3,AE11='Opciones Tratamiento'!$B$4),ISBLANK(AE11),ISTEXT(AE11))</xm:f>
          </x14:formula1>
          <xm:sqref>AG11:AG27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J2" sqref="J2:AM4"/>
    </sheetView>
  </sheetViews>
  <sheetFormatPr baseColWidth="10" defaultColWidth="11.44140625" defaultRowHeight="14.4" x14ac:dyDescent="0.3"/>
  <cols>
    <col min="2" max="39" width="5.6640625" customWidth="1"/>
    <col min="41" max="46" width="5.6640625" customWidth="1"/>
  </cols>
  <sheetData>
    <row r="1" spans="1:99" x14ac:dyDescent="0.3">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row>
    <row r="2" spans="1:99" ht="18" customHeight="1" x14ac:dyDescent="0.3">
      <c r="A2" s="42"/>
      <c r="B2" s="250" t="s">
        <v>202</v>
      </c>
      <c r="C2" s="250"/>
      <c r="D2" s="250"/>
      <c r="E2" s="250"/>
      <c r="F2" s="250"/>
      <c r="G2" s="250"/>
      <c r="H2" s="250"/>
      <c r="I2" s="250"/>
      <c r="J2" s="287" t="s">
        <v>15</v>
      </c>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row>
    <row r="3" spans="1:99" ht="18.75" customHeight="1" x14ac:dyDescent="0.3">
      <c r="A3" s="42"/>
      <c r="B3" s="250"/>
      <c r="C3" s="250"/>
      <c r="D3" s="250"/>
      <c r="E3" s="250"/>
      <c r="F3" s="250"/>
      <c r="G3" s="250"/>
      <c r="H3" s="250"/>
      <c r="I3" s="250"/>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row>
    <row r="4" spans="1:99" ht="15" customHeight="1" x14ac:dyDescent="0.3">
      <c r="A4" s="42"/>
      <c r="B4" s="250"/>
      <c r="C4" s="250"/>
      <c r="D4" s="250"/>
      <c r="E4" s="250"/>
      <c r="F4" s="250"/>
      <c r="G4" s="250"/>
      <c r="H4" s="250"/>
      <c r="I4" s="250"/>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row>
    <row r="5" spans="1:99" ht="15" thickBot="1" x14ac:dyDescent="0.35">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row>
    <row r="6" spans="1:99" ht="15" customHeight="1" x14ac:dyDescent="0.3">
      <c r="A6" s="42"/>
      <c r="B6" s="298" t="s">
        <v>203</v>
      </c>
      <c r="C6" s="298"/>
      <c r="D6" s="299"/>
      <c r="E6" s="288" t="s">
        <v>204</v>
      </c>
      <c r="F6" s="289"/>
      <c r="G6" s="289"/>
      <c r="H6" s="289"/>
      <c r="I6" s="290"/>
      <c r="J6" s="284" t="str">
        <f>IF(AND('Mapa final'!$I$11="Muy Alta",'Mapa final'!$M$11="Leve"),CONCATENATE("R",'Mapa final'!$A$11),"")</f>
        <v/>
      </c>
      <c r="K6" s="285"/>
      <c r="L6" s="285" t="str">
        <f>IF(AND('Mapa final'!$I$17="Muy Alta",'Mapa final'!$M$17="Leve"),CONCATENATE("R",'Mapa final'!$A$17),"")</f>
        <v/>
      </c>
      <c r="M6" s="285"/>
      <c r="N6" s="285" t="str">
        <f>IF(AND('Mapa final'!$I$20="Muy Alta",'Mapa final'!$M$20="Leve"),CONCATENATE("R",'Mapa final'!$A$20),"")</f>
        <v/>
      </c>
      <c r="O6" s="286"/>
      <c r="P6" s="284" t="str">
        <f>IF(AND('Mapa final'!$I$11="Muy Alta",'Mapa final'!$M$11="Menor"),CONCATENATE("R",'Mapa final'!$A$11),"")</f>
        <v/>
      </c>
      <c r="Q6" s="285"/>
      <c r="R6" s="285" t="str">
        <f>IF(AND('Mapa final'!$I$17="Muy Alta",'Mapa final'!$M$17="Menor"),CONCATENATE("R",'Mapa final'!$A$17),"")</f>
        <v/>
      </c>
      <c r="S6" s="285"/>
      <c r="T6" s="285" t="str">
        <f>IF(AND('Mapa final'!$I$20="Muy Alta",'Mapa final'!$M$20="Menor"),CONCATENATE("R",'Mapa final'!$A$20),"")</f>
        <v/>
      </c>
      <c r="U6" s="286"/>
      <c r="V6" s="284" t="str">
        <f>IF(AND('Mapa final'!$I$11="Muy Alta",'Mapa final'!$M$11="Moderado"),CONCATENATE("R",'Mapa final'!$A$11),"")</f>
        <v/>
      </c>
      <c r="W6" s="285"/>
      <c r="X6" s="285" t="str">
        <f>IF(AND('Mapa final'!$I$17="Muy Alta",'Mapa final'!$M$17="Moderado"),CONCATENATE("R",'Mapa final'!$A$17),"")</f>
        <v/>
      </c>
      <c r="Y6" s="285"/>
      <c r="Z6" s="285" t="str">
        <f>IF(AND('Mapa final'!$I$20="Muy Alta",'Mapa final'!$M$20="Moderado"),CONCATENATE("R",'Mapa final'!$A$20),"")</f>
        <v/>
      </c>
      <c r="AA6" s="286"/>
      <c r="AB6" s="284" t="str">
        <f>IF(AND('Mapa final'!$I$11="Muy Alta",'Mapa final'!$M$11="Mayor"),CONCATENATE("R",'Mapa final'!$A$11),"")</f>
        <v/>
      </c>
      <c r="AC6" s="285"/>
      <c r="AD6" s="285" t="str">
        <f>IF(AND('Mapa final'!$I$17="Muy Alta",'Mapa final'!$M$17="Mayor"),CONCATENATE("R",'Mapa final'!$A$17),"")</f>
        <v/>
      </c>
      <c r="AE6" s="285"/>
      <c r="AF6" s="285" t="str">
        <f>IF(AND('Mapa final'!$I$20="Muy Alta",'Mapa final'!$M$20="Mayor"),CONCATENATE("R",'Mapa final'!$A$20),"")</f>
        <v/>
      </c>
      <c r="AG6" s="286"/>
      <c r="AH6" s="275" t="str">
        <f>IF(AND('Mapa final'!$I$11="Muy Alta",'Mapa final'!$M$11="Catastrófico"),CONCATENATE("R",'Mapa final'!$A$11),"")</f>
        <v/>
      </c>
      <c r="AI6" s="276"/>
      <c r="AJ6" s="276" t="str">
        <f>IF(AND('Mapa final'!$I$17="Muy Alta",'Mapa final'!$M$17="Catastrófico"),CONCATENATE("R",'Mapa final'!$A$17),"")</f>
        <v/>
      </c>
      <c r="AK6" s="276"/>
      <c r="AL6" s="276" t="str">
        <f>IF(AND('Mapa final'!$I$20="Muy Alta",'Mapa final'!$M$20="Catastrófico"),CONCATENATE("R",'Mapa final'!$A$20),"")</f>
        <v/>
      </c>
      <c r="AM6" s="277"/>
      <c r="AO6" s="300" t="s">
        <v>205</v>
      </c>
      <c r="AP6" s="301"/>
      <c r="AQ6" s="301"/>
      <c r="AR6" s="301"/>
      <c r="AS6" s="301"/>
      <c r="AT6" s="30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row>
    <row r="7" spans="1:99" ht="15" customHeight="1" x14ac:dyDescent="0.3">
      <c r="A7" s="42"/>
      <c r="B7" s="298"/>
      <c r="C7" s="298"/>
      <c r="D7" s="299"/>
      <c r="E7" s="291"/>
      <c r="F7" s="292"/>
      <c r="G7" s="292"/>
      <c r="H7" s="292"/>
      <c r="I7" s="293"/>
      <c r="J7" s="278"/>
      <c r="K7" s="279"/>
      <c r="L7" s="279"/>
      <c r="M7" s="279"/>
      <c r="N7" s="279"/>
      <c r="O7" s="280"/>
      <c r="P7" s="278"/>
      <c r="Q7" s="279"/>
      <c r="R7" s="279"/>
      <c r="S7" s="279"/>
      <c r="T7" s="279"/>
      <c r="U7" s="280"/>
      <c r="V7" s="278"/>
      <c r="W7" s="279"/>
      <c r="X7" s="279"/>
      <c r="Y7" s="279"/>
      <c r="Z7" s="279"/>
      <c r="AA7" s="280"/>
      <c r="AB7" s="278"/>
      <c r="AC7" s="279"/>
      <c r="AD7" s="279"/>
      <c r="AE7" s="279"/>
      <c r="AF7" s="279"/>
      <c r="AG7" s="280"/>
      <c r="AH7" s="269"/>
      <c r="AI7" s="270"/>
      <c r="AJ7" s="270"/>
      <c r="AK7" s="270"/>
      <c r="AL7" s="270"/>
      <c r="AM7" s="271"/>
      <c r="AN7" s="42"/>
      <c r="AO7" s="303"/>
      <c r="AP7" s="304"/>
      <c r="AQ7" s="304"/>
      <c r="AR7" s="304"/>
      <c r="AS7" s="304"/>
      <c r="AT7" s="305"/>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row>
    <row r="8" spans="1:99" ht="15" customHeight="1" x14ac:dyDescent="0.3">
      <c r="A8" s="42"/>
      <c r="B8" s="298"/>
      <c r="C8" s="298"/>
      <c r="D8" s="299"/>
      <c r="E8" s="291"/>
      <c r="F8" s="292"/>
      <c r="G8" s="292"/>
      <c r="H8" s="292"/>
      <c r="I8" s="293"/>
      <c r="J8" s="278" t="str">
        <f>IF(AND('Mapa final'!$I$26="Muy Alta",'Mapa final'!$M$26="Leve"),CONCATENATE("R",'Mapa final'!$A$26),"")</f>
        <v/>
      </c>
      <c r="K8" s="279"/>
      <c r="L8" s="279" t="e">
        <f>IF(AND('Mapa final'!#REF!="Muy Alta",'Mapa final'!#REF!="Leve"),CONCATENATE("R",'Mapa final'!#REF!),"")</f>
        <v>#REF!</v>
      </c>
      <c r="M8" s="279"/>
      <c r="N8" s="279" t="e">
        <f>IF(AND('Mapa final'!#REF!="Muy Alta",'Mapa final'!#REF!="Leve"),CONCATENATE("R",'Mapa final'!#REF!),"")</f>
        <v>#REF!</v>
      </c>
      <c r="O8" s="280"/>
      <c r="P8" s="278" t="str">
        <f>IF(AND('Mapa final'!$I$26="Muy Alta",'Mapa final'!$M$26="Menor"),CONCATENATE("R",'Mapa final'!$A$26),"")</f>
        <v/>
      </c>
      <c r="Q8" s="279"/>
      <c r="R8" s="279" t="e">
        <f>IF(AND('Mapa final'!#REF!="Muy Alta",'Mapa final'!#REF!="Menor"),CONCATENATE("R",'Mapa final'!#REF!),"")</f>
        <v>#REF!</v>
      </c>
      <c r="S8" s="279"/>
      <c r="T8" s="279" t="e">
        <f>IF(AND('Mapa final'!#REF!="Muy Alta",'Mapa final'!#REF!="Menor"),CONCATENATE("R",'Mapa final'!#REF!),"")</f>
        <v>#REF!</v>
      </c>
      <c r="U8" s="280"/>
      <c r="V8" s="278" t="str">
        <f>IF(AND('Mapa final'!$I$26="Muy Alta",'Mapa final'!$M$26="Moderado"),CONCATENATE("R",'Mapa final'!$A$26),"")</f>
        <v/>
      </c>
      <c r="W8" s="279"/>
      <c r="X8" s="279" t="e">
        <f>IF(AND('Mapa final'!#REF!="Muy Alta",'Mapa final'!#REF!="Moderado"),CONCATENATE("R",'Mapa final'!#REF!),"")</f>
        <v>#REF!</v>
      </c>
      <c r="Y8" s="279"/>
      <c r="Z8" s="279" t="e">
        <f>IF(AND('Mapa final'!#REF!="Muy Alta",'Mapa final'!#REF!="Moderado"),CONCATENATE("R",'Mapa final'!#REF!),"")</f>
        <v>#REF!</v>
      </c>
      <c r="AA8" s="280"/>
      <c r="AB8" s="278" t="str">
        <f>IF(AND('Mapa final'!$I$26="Muy Alta",'Mapa final'!$M$26="Mayor"),CONCATENATE("R",'Mapa final'!$A$26),"")</f>
        <v/>
      </c>
      <c r="AC8" s="279"/>
      <c r="AD8" s="279" t="e">
        <f>IF(AND('Mapa final'!#REF!="Muy Alta",'Mapa final'!#REF!="Mayor"),CONCATENATE("R",'Mapa final'!#REF!),"")</f>
        <v>#REF!</v>
      </c>
      <c r="AE8" s="279"/>
      <c r="AF8" s="279" t="e">
        <f>IF(AND('Mapa final'!#REF!="Muy Alta",'Mapa final'!#REF!="Mayor"),CONCATENATE("R",'Mapa final'!#REF!),"")</f>
        <v>#REF!</v>
      </c>
      <c r="AG8" s="280"/>
      <c r="AH8" s="269" t="str">
        <f>IF(AND('Mapa final'!$I$26="Muy Alta",'Mapa final'!$M$26="Catastrófico"),CONCATENATE("R",'Mapa final'!$A$26),"")</f>
        <v/>
      </c>
      <c r="AI8" s="270"/>
      <c r="AJ8" s="270" t="e">
        <f>IF(AND('Mapa final'!#REF!="Muy Alta",'Mapa final'!#REF!="Catastrófico"),CONCATENATE("R",'Mapa final'!#REF!),"")</f>
        <v>#REF!</v>
      </c>
      <c r="AK8" s="270"/>
      <c r="AL8" s="270" t="e">
        <f>IF(AND('Mapa final'!#REF!="Muy Alta",'Mapa final'!#REF!="Catastrófico"),CONCATENATE("R",'Mapa final'!#REF!),"")</f>
        <v>#REF!</v>
      </c>
      <c r="AM8" s="271"/>
      <c r="AN8" s="42"/>
      <c r="AO8" s="303"/>
      <c r="AP8" s="304"/>
      <c r="AQ8" s="304"/>
      <c r="AR8" s="304"/>
      <c r="AS8" s="304"/>
      <c r="AT8" s="305"/>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row>
    <row r="9" spans="1:99" ht="15" customHeight="1" x14ac:dyDescent="0.3">
      <c r="A9" s="42"/>
      <c r="B9" s="298"/>
      <c r="C9" s="298"/>
      <c r="D9" s="299"/>
      <c r="E9" s="291"/>
      <c r="F9" s="292"/>
      <c r="G9" s="292"/>
      <c r="H9" s="292"/>
      <c r="I9" s="293"/>
      <c r="J9" s="278"/>
      <c r="K9" s="279"/>
      <c r="L9" s="279"/>
      <c r="M9" s="279"/>
      <c r="N9" s="279"/>
      <c r="O9" s="280"/>
      <c r="P9" s="278"/>
      <c r="Q9" s="279"/>
      <c r="R9" s="279"/>
      <c r="S9" s="279"/>
      <c r="T9" s="279"/>
      <c r="U9" s="280"/>
      <c r="V9" s="278"/>
      <c r="W9" s="279"/>
      <c r="X9" s="279"/>
      <c r="Y9" s="279"/>
      <c r="Z9" s="279"/>
      <c r="AA9" s="280"/>
      <c r="AB9" s="278"/>
      <c r="AC9" s="279"/>
      <c r="AD9" s="279"/>
      <c r="AE9" s="279"/>
      <c r="AF9" s="279"/>
      <c r="AG9" s="280"/>
      <c r="AH9" s="269"/>
      <c r="AI9" s="270"/>
      <c r="AJ9" s="270"/>
      <c r="AK9" s="270"/>
      <c r="AL9" s="270"/>
      <c r="AM9" s="271"/>
      <c r="AN9" s="42"/>
      <c r="AO9" s="303"/>
      <c r="AP9" s="304"/>
      <c r="AQ9" s="304"/>
      <c r="AR9" s="304"/>
      <c r="AS9" s="304"/>
      <c r="AT9" s="305"/>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row>
    <row r="10" spans="1:99" ht="15" customHeight="1" x14ac:dyDescent="0.3">
      <c r="A10" s="42"/>
      <c r="B10" s="298"/>
      <c r="C10" s="298"/>
      <c r="D10" s="299"/>
      <c r="E10" s="291"/>
      <c r="F10" s="292"/>
      <c r="G10" s="292"/>
      <c r="H10" s="292"/>
      <c r="I10" s="293"/>
      <c r="J10" s="278" t="e">
        <f>IF(AND('Mapa final'!#REF!="Muy Alta",'Mapa final'!#REF!="Leve"),CONCATENATE("R",'Mapa final'!#REF!),"")</f>
        <v>#REF!</v>
      </c>
      <c r="K10" s="279"/>
      <c r="L10" s="279" t="e">
        <f>IF(AND('Mapa final'!#REF!="Muy Alta",'Mapa final'!#REF!="Leve"),CONCATENATE("R",'Mapa final'!#REF!),"")</f>
        <v>#REF!</v>
      </c>
      <c r="M10" s="279"/>
      <c r="N10" s="279" t="e">
        <f>IF(AND('Mapa final'!#REF!="Muy Alta",'Mapa final'!#REF!="Leve"),CONCATENATE("R",'Mapa final'!#REF!),"")</f>
        <v>#REF!</v>
      </c>
      <c r="O10" s="280"/>
      <c r="P10" s="278" t="e">
        <f>IF(AND('Mapa final'!#REF!="Muy Alta",'Mapa final'!#REF!="Menor"),CONCATENATE("R",'Mapa final'!#REF!),"")</f>
        <v>#REF!</v>
      </c>
      <c r="Q10" s="279"/>
      <c r="R10" s="279" t="e">
        <f>IF(AND('Mapa final'!#REF!="Muy Alta",'Mapa final'!#REF!="Menor"),CONCATENATE("R",'Mapa final'!#REF!),"")</f>
        <v>#REF!</v>
      </c>
      <c r="S10" s="279"/>
      <c r="T10" s="279" t="e">
        <f>IF(AND('Mapa final'!#REF!="Muy Alta",'Mapa final'!#REF!="Menor"),CONCATENATE("R",'Mapa final'!#REF!),"")</f>
        <v>#REF!</v>
      </c>
      <c r="U10" s="280"/>
      <c r="V10" s="278" t="e">
        <f>IF(AND('Mapa final'!#REF!="Muy Alta",'Mapa final'!#REF!="Moderado"),CONCATENATE("R",'Mapa final'!#REF!),"")</f>
        <v>#REF!</v>
      </c>
      <c r="W10" s="279"/>
      <c r="X10" s="279" t="e">
        <f>IF(AND('Mapa final'!#REF!="Muy Alta",'Mapa final'!#REF!="Moderado"),CONCATENATE("R",'Mapa final'!#REF!),"")</f>
        <v>#REF!</v>
      </c>
      <c r="Y10" s="279"/>
      <c r="Z10" s="279" t="e">
        <f>IF(AND('Mapa final'!#REF!="Muy Alta",'Mapa final'!#REF!="Moderado"),CONCATENATE("R",'Mapa final'!#REF!),"")</f>
        <v>#REF!</v>
      </c>
      <c r="AA10" s="280"/>
      <c r="AB10" s="278" t="e">
        <f>IF(AND('Mapa final'!#REF!="Muy Alta",'Mapa final'!#REF!="Mayor"),CONCATENATE("R",'Mapa final'!#REF!),"")</f>
        <v>#REF!</v>
      </c>
      <c r="AC10" s="279"/>
      <c r="AD10" s="279" t="e">
        <f>IF(AND('Mapa final'!#REF!="Muy Alta",'Mapa final'!#REF!="Mayor"),CONCATENATE("R",'Mapa final'!#REF!),"")</f>
        <v>#REF!</v>
      </c>
      <c r="AE10" s="279"/>
      <c r="AF10" s="279" t="e">
        <f>IF(AND('Mapa final'!#REF!="Muy Alta",'Mapa final'!#REF!="Mayor"),CONCATENATE("R",'Mapa final'!#REF!),"")</f>
        <v>#REF!</v>
      </c>
      <c r="AG10" s="280"/>
      <c r="AH10" s="269" t="e">
        <f>IF(AND('Mapa final'!#REF!="Muy Alta",'Mapa final'!#REF!="Catastrófico"),CONCATENATE("R",'Mapa final'!#REF!),"")</f>
        <v>#REF!</v>
      </c>
      <c r="AI10" s="270"/>
      <c r="AJ10" s="270" t="e">
        <f>IF(AND('Mapa final'!#REF!="Muy Alta",'Mapa final'!#REF!="Catastrófico"),CONCATENATE("R",'Mapa final'!#REF!),"")</f>
        <v>#REF!</v>
      </c>
      <c r="AK10" s="270"/>
      <c r="AL10" s="270" t="e">
        <f>IF(AND('Mapa final'!#REF!="Muy Alta",'Mapa final'!#REF!="Catastrófico"),CONCATENATE("R",'Mapa final'!#REF!),"")</f>
        <v>#REF!</v>
      </c>
      <c r="AM10" s="271"/>
      <c r="AN10" s="42"/>
      <c r="AO10" s="303"/>
      <c r="AP10" s="304"/>
      <c r="AQ10" s="304"/>
      <c r="AR10" s="304"/>
      <c r="AS10" s="304"/>
      <c r="AT10" s="305"/>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row>
    <row r="11" spans="1:99" ht="15" customHeight="1" x14ac:dyDescent="0.3">
      <c r="A11" s="42"/>
      <c r="B11" s="298"/>
      <c r="C11" s="298"/>
      <c r="D11" s="299"/>
      <c r="E11" s="291"/>
      <c r="F11" s="292"/>
      <c r="G11" s="292"/>
      <c r="H11" s="292"/>
      <c r="I11" s="293"/>
      <c r="J11" s="278"/>
      <c r="K11" s="279"/>
      <c r="L11" s="279"/>
      <c r="M11" s="279"/>
      <c r="N11" s="279"/>
      <c r="O11" s="280"/>
      <c r="P11" s="278"/>
      <c r="Q11" s="279"/>
      <c r="R11" s="279"/>
      <c r="S11" s="279"/>
      <c r="T11" s="279"/>
      <c r="U11" s="280"/>
      <c r="V11" s="278"/>
      <c r="W11" s="279"/>
      <c r="X11" s="279"/>
      <c r="Y11" s="279"/>
      <c r="Z11" s="279"/>
      <c r="AA11" s="280"/>
      <c r="AB11" s="278"/>
      <c r="AC11" s="279"/>
      <c r="AD11" s="279"/>
      <c r="AE11" s="279"/>
      <c r="AF11" s="279"/>
      <c r="AG11" s="280"/>
      <c r="AH11" s="269"/>
      <c r="AI11" s="270"/>
      <c r="AJ11" s="270"/>
      <c r="AK11" s="270"/>
      <c r="AL11" s="270"/>
      <c r="AM11" s="271"/>
      <c r="AN11" s="42"/>
      <c r="AO11" s="303"/>
      <c r="AP11" s="304"/>
      <c r="AQ11" s="304"/>
      <c r="AR11" s="304"/>
      <c r="AS11" s="304"/>
      <c r="AT11" s="305"/>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row>
    <row r="12" spans="1:99" ht="15" customHeight="1" x14ac:dyDescent="0.3">
      <c r="A12" s="42"/>
      <c r="B12" s="298"/>
      <c r="C12" s="298"/>
      <c r="D12" s="299"/>
      <c r="E12" s="291"/>
      <c r="F12" s="292"/>
      <c r="G12" s="292"/>
      <c r="H12" s="292"/>
      <c r="I12" s="293"/>
      <c r="J12" s="278" t="e">
        <f>IF(AND('Mapa final'!#REF!="Muy Alta",'Mapa final'!#REF!="Leve"),CONCATENATE("R",'Mapa final'!#REF!),"")</f>
        <v>#REF!</v>
      </c>
      <c r="K12" s="279"/>
      <c r="L12" s="279" t="e">
        <f>IF(AND('Mapa final'!#REF!="Muy Alta",'Mapa final'!#REF!="Leve"),CONCATENATE("R",'Mapa final'!#REF!),"")</f>
        <v>#REF!</v>
      </c>
      <c r="M12" s="279"/>
      <c r="N12" s="279" t="str">
        <f>IF(AND('Mapa final'!$I$31="Muy Alta",'Mapa final'!$M$31="Leve"),CONCATENATE("R",'Mapa final'!$A$31),"")</f>
        <v/>
      </c>
      <c r="O12" s="280"/>
      <c r="P12" s="278" t="e">
        <f>IF(AND('Mapa final'!#REF!="Muy Alta",'Mapa final'!#REF!="Menor"),CONCATENATE("R",'Mapa final'!#REF!),"")</f>
        <v>#REF!</v>
      </c>
      <c r="Q12" s="279"/>
      <c r="R12" s="279" t="e">
        <f>IF(AND('Mapa final'!#REF!="Muy Alta",'Mapa final'!#REF!="Menor"),CONCATENATE("R",'Mapa final'!#REF!),"")</f>
        <v>#REF!</v>
      </c>
      <c r="S12" s="279"/>
      <c r="T12" s="279" t="str">
        <f>IF(AND('Mapa final'!$I$31="Muy Alta",'Mapa final'!$M$31="Menor"),CONCATENATE("R",'Mapa final'!$A$31),"")</f>
        <v/>
      </c>
      <c r="U12" s="280"/>
      <c r="V12" s="278" t="e">
        <f>IF(AND('Mapa final'!#REF!="Muy Alta",'Mapa final'!#REF!="Moderado"),CONCATENATE("R",'Mapa final'!#REF!),"")</f>
        <v>#REF!</v>
      </c>
      <c r="W12" s="279"/>
      <c r="X12" s="279" t="e">
        <f>IF(AND('Mapa final'!#REF!="Muy Alta",'Mapa final'!#REF!="Moderado"),CONCATENATE("R",'Mapa final'!#REF!),"")</f>
        <v>#REF!</v>
      </c>
      <c r="Y12" s="279"/>
      <c r="Z12" s="279" t="str">
        <f>IF(AND('Mapa final'!$I$31="Muy Alta",'Mapa final'!$M$31="Moderado"),CONCATENATE("R",'Mapa final'!$A$31),"")</f>
        <v/>
      </c>
      <c r="AA12" s="280"/>
      <c r="AB12" s="278" t="e">
        <f>IF(AND('Mapa final'!#REF!="Muy Alta",'Mapa final'!#REF!="Mayor"),CONCATENATE("R",'Mapa final'!#REF!),"")</f>
        <v>#REF!</v>
      </c>
      <c r="AC12" s="279"/>
      <c r="AD12" s="279" t="e">
        <f>IF(AND('Mapa final'!#REF!="Muy Alta",'Mapa final'!#REF!="Mayor"),CONCATENATE("R",'Mapa final'!#REF!),"")</f>
        <v>#REF!</v>
      </c>
      <c r="AE12" s="279"/>
      <c r="AF12" s="279" t="str">
        <f>IF(AND('Mapa final'!$I$31="Muy Alta",'Mapa final'!$M$31="Mayor"),CONCATENATE("R",'Mapa final'!$A$31),"")</f>
        <v/>
      </c>
      <c r="AG12" s="280"/>
      <c r="AH12" s="269" t="e">
        <f>IF(AND('Mapa final'!#REF!="Muy Alta",'Mapa final'!#REF!="Catastrófico"),CONCATENATE("R",'Mapa final'!#REF!),"")</f>
        <v>#REF!</v>
      </c>
      <c r="AI12" s="270"/>
      <c r="AJ12" s="270" t="e">
        <f>IF(AND('Mapa final'!#REF!="Muy Alta",'Mapa final'!#REF!="Catastrófico"),CONCATENATE("R",'Mapa final'!#REF!),"")</f>
        <v>#REF!</v>
      </c>
      <c r="AK12" s="270"/>
      <c r="AL12" s="270" t="str">
        <f>IF(AND('Mapa final'!$I$31="Muy Alta",'Mapa final'!$M$31="Catastrófico"),CONCATENATE("R",'Mapa final'!$A$31),"")</f>
        <v/>
      </c>
      <c r="AM12" s="271"/>
      <c r="AN12" s="42"/>
      <c r="AO12" s="303"/>
      <c r="AP12" s="304"/>
      <c r="AQ12" s="304"/>
      <c r="AR12" s="304"/>
      <c r="AS12" s="304"/>
      <c r="AT12" s="305"/>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row>
    <row r="13" spans="1:99" ht="16.2" customHeight="1" thickBot="1" x14ac:dyDescent="0.35">
      <c r="A13" s="42"/>
      <c r="B13" s="298"/>
      <c r="C13" s="298"/>
      <c r="D13" s="299"/>
      <c r="E13" s="294"/>
      <c r="F13" s="295"/>
      <c r="G13" s="295"/>
      <c r="H13" s="295"/>
      <c r="I13" s="296"/>
      <c r="J13" s="278"/>
      <c r="K13" s="279"/>
      <c r="L13" s="279"/>
      <c r="M13" s="279"/>
      <c r="N13" s="279"/>
      <c r="O13" s="280"/>
      <c r="P13" s="278"/>
      <c r="Q13" s="279"/>
      <c r="R13" s="279"/>
      <c r="S13" s="279"/>
      <c r="T13" s="279"/>
      <c r="U13" s="280"/>
      <c r="V13" s="278"/>
      <c r="W13" s="279"/>
      <c r="X13" s="279"/>
      <c r="Y13" s="279"/>
      <c r="Z13" s="279"/>
      <c r="AA13" s="280"/>
      <c r="AB13" s="278"/>
      <c r="AC13" s="279"/>
      <c r="AD13" s="279"/>
      <c r="AE13" s="279"/>
      <c r="AF13" s="279"/>
      <c r="AG13" s="280"/>
      <c r="AH13" s="272"/>
      <c r="AI13" s="273"/>
      <c r="AJ13" s="273"/>
      <c r="AK13" s="273"/>
      <c r="AL13" s="273"/>
      <c r="AM13" s="274"/>
      <c r="AN13" s="42"/>
      <c r="AO13" s="306"/>
      <c r="AP13" s="307"/>
      <c r="AQ13" s="307"/>
      <c r="AR13" s="307"/>
      <c r="AS13" s="307"/>
      <c r="AT13" s="308"/>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row>
    <row r="14" spans="1:99" ht="15" customHeight="1" x14ac:dyDescent="0.3">
      <c r="A14" s="42"/>
      <c r="B14" s="298"/>
      <c r="C14" s="298"/>
      <c r="D14" s="299"/>
      <c r="E14" s="288" t="s">
        <v>206</v>
      </c>
      <c r="F14" s="289"/>
      <c r="G14" s="289"/>
      <c r="H14" s="289"/>
      <c r="I14" s="289"/>
      <c r="J14" s="266" t="str">
        <f>IF(AND('Mapa final'!$I$11="Alta",'Mapa final'!$M$11="Leve"),CONCATENATE("R",'Mapa final'!$A$11),"")</f>
        <v/>
      </c>
      <c r="K14" s="267"/>
      <c r="L14" s="267" t="str">
        <f>IF(AND('Mapa final'!$I$17="Alta",'Mapa final'!$M$17="Leve"),CONCATENATE("R",'Mapa final'!$A$17),"")</f>
        <v/>
      </c>
      <c r="M14" s="267"/>
      <c r="N14" s="267" t="str">
        <f>IF(AND('Mapa final'!$I$20="Alta",'Mapa final'!$M$20="Leve"),CONCATENATE("R",'Mapa final'!$A$20),"")</f>
        <v/>
      </c>
      <c r="O14" s="268"/>
      <c r="P14" s="266" t="str">
        <f>IF(AND('Mapa final'!$I$11="Alta",'Mapa final'!$M$11="Menor"),CONCATENATE("R",'Mapa final'!$A$11),"")</f>
        <v/>
      </c>
      <c r="Q14" s="267"/>
      <c r="R14" s="267" t="str">
        <f>IF(AND('Mapa final'!$I$17="Alta",'Mapa final'!$M$17="Menor"),CONCATENATE("R",'Mapa final'!$A$17),"")</f>
        <v/>
      </c>
      <c r="S14" s="267"/>
      <c r="T14" s="267" t="str">
        <f>IF(AND('Mapa final'!$I$20="Alta",'Mapa final'!$M$20="Menor"),CONCATENATE("R",'Mapa final'!$A$20),"")</f>
        <v/>
      </c>
      <c r="U14" s="268"/>
      <c r="V14" s="284" t="str">
        <f>IF(AND('Mapa final'!$I$11="Alta",'Mapa final'!$M$11="Moderado"),CONCATENATE("R",'Mapa final'!$A$11),"")</f>
        <v/>
      </c>
      <c r="W14" s="285"/>
      <c r="X14" s="285" t="str">
        <f>IF(AND('Mapa final'!$I$17="Alta",'Mapa final'!$M$17="Moderado"),CONCATENATE("R",'Mapa final'!$A$17),"")</f>
        <v/>
      </c>
      <c r="Y14" s="285"/>
      <c r="Z14" s="285" t="str">
        <f>IF(AND('Mapa final'!$I$20="Alta",'Mapa final'!$M$20="Moderado"),CONCATENATE("R",'Mapa final'!$A$20),"")</f>
        <v/>
      </c>
      <c r="AA14" s="286"/>
      <c r="AB14" s="284" t="str">
        <f>IF(AND('Mapa final'!$I$11="Alta",'Mapa final'!$M$11="Mayor"),CONCATENATE("R",'Mapa final'!$A$11),"")</f>
        <v/>
      </c>
      <c r="AC14" s="285"/>
      <c r="AD14" s="285" t="str">
        <f>IF(AND('Mapa final'!$I$17="Alta",'Mapa final'!$M$17="Mayor"),CONCATENATE("R",'Mapa final'!$A$17),"")</f>
        <v/>
      </c>
      <c r="AE14" s="285"/>
      <c r="AF14" s="285" t="str">
        <f>IF(AND('Mapa final'!$I$20="Alta",'Mapa final'!$M$20="Mayor"),CONCATENATE("R",'Mapa final'!$A$20),"")</f>
        <v/>
      </c>
      <c r="AG14" s="286"/>
      <c r="AH14" s="275" t="str">
        <f>IF(AND('Mapa final'!$I$11="Alta",'Mapa final'!$M$11="Catastrófico"),CONCATENATE("R",'Mapa final'!$A$11),"")</f>
        <v/>
      </c>
      <c r="AI14" s="276"/>
      <c r="AJ14" s="276" t="str">
        <f>IF(AND('Mapa final'!$I$17="Alta",'Mapa final'!$M$17="Catastrófico"),CONCATENATE("R",'Mapa final'!$A$17),"")</f>
        <v/>
      </c>
      <c r="AK14" s="276"/>
      <c r="AL14" s="276" t="str">
        <f>IF(AND('Mapa final'!$I$20="Alta",'Mapa final'!$M$20="Catastrófico"),CONCATENATE("R",'Mapa final'!$A$20),"")</f>
        <v/>
      </c>
      <c r="AM14" s="277"/>
      <c r="AN14" s="42"/>
      <c r="AO14" s="309" t="s">
        <v>207</v>
      </c>
      <c r="AP14" s="310"/>
      <c r="AQ14" s="310"/>
      <c r="AR14" s="310"/>
      <c r="AS14" s="310"/>
      <c r="AT14" s="311"/>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row>
    <row r="15" spans="1:99" ht="15" customHeight="1" x14ac:dyDescent="0.3">
      <c r="A15" s="42"/>
      <c r="B15" s="298"/>
      <c r="C15" s="298"/>
      <c r="D15" s="299"/>
      <c r="E15" s="291"/>
      <c r="F15" s="292"/>
      <c r="G15" s="292"/>
      <c r="H15" s="292"/>
      <c r="I15" s="292"/>
      <c r="J15" s="260"/>
      <c r="K15" s="261"/>
      <c r="L15" s="261"/>
      <c r="M15" s="261"/>
      <c r="N15" s="261"/>
      <c r="O15" s="262"/>
      <c r="P15" s="260"/>
      <c r="Q15" s="261"/>
      <c r="R15" s="261"/>
      <c r="S15" s="261"/>
      <c r="T15" s="261"/>
      <c r="U15" s="262"/>
      <c r="V15" s="278"/>
      <c r="W15" s="279"/>
      <c r="X15" s="279"/>
      <c r="Y15" s="279"/>
      <c r="Z15" s="279"/>
      <c r="AA15" s="280"/>
      <c r="AB15" s="278"/>
      <c r="AC15" s="279"/>
      <c r="AD15" s="279"/>
      <c r="AE15" s="279"/>
      <c r="AF15" s="279"/>
      <c r="AG15" s="280"/>
      <c r="AH15" s="269"/>
      <c r="AI15" s="270"/>
      <c r="AJ15" s="270"/>
      <c r="AK15" s="270"/>
      <c r="AL15" s="270"/>
      <c r="AM15" s="271"/>
      <c r="AN15" s="42"/>
      <c r="AO15" s="312"/>
      <c r="AP15" s="313"/>
      <c r="AQ15" s="313"/>
      <c r="AR15" s="313"/>
      <c r="AS15" s="313"/>
      <c r="AT15" s="314"/>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row>
    <row r="16" spans="1:99" ht="15" customHeight="1" x14ac:dyDescent="0.3">
      <c r="A16" s="42"/>
      <c r="B16" s="298"/>
      <c r="C16" s="298"/>
      <c r="D16" s="299"/>
      <c r="E16" s="291"/>
      <c r="F16" s="292"/>
      <c r="G16" s="292"/>
      <c r="H16" s="292"/>
      <c r="I16" s="292"/>
      <c r="J16" s="260" t="str">
        <f>IF(AND('Mapa final'!$I$26="Alta",'Mapa final'!$M$26="Leve"),CONCATENATE("R",'Mapa final'!$A$26),"")</f>
        <v/>
      </c>
      <c r="K16" s="261"/>
      <c r="L16" s="261" t="e">
        <f>IF(AND('Mapa final'!#REF!="Alta",'Mapa final'!#REF!="Leve"),CONCATENATE("R",'Mapa final'!#REF!),"")</f>
        <v>#REF!</v>
      </c>
      <c r="M16" s="261"/>
      <c r="N16" s="261" t="e">
        <f>IF(AND('Mapa final'!#REF!="Alta",'Mapa final'!#REF!="Leve"),CONCATENATE("R",'Mapa final'!#REF!),"")</f>
        <v>#REF!</v>
      </c>
      <c r="O16" s="262"/>
      <c r="P16" s="260" t="str">
        <f>IF(AND('Mapa final'!$I$26="Alta",'Mapa final'!$M$26="Menor"),CONCATENATE("R",'Mapa final'!$A$26),"")</f>
        <v/>
      </c>
      <c r="Q16" s="261"/>
      <c r="R16" s="261" t="e">
        <f>IF(AND('Mapa final'!#REF!="Alta",'Mapa final'!#REF!="Menor"),CONCATENATE("R",'Mapa final'!#REF!),"")</f>
        <v>#REF!</v>
      </c>
      <c r="S16" s="261"/>
      <c r="T16" s="261" t="e">
        <f>IF(AND('Mapa final'!#REF!="Alta",'Mapa final'!#REF!="Menor"),CONCATENATE("R",'Mapa final'!#REF!),"")</f>
        <v>#REF!</v>
      </c>
      <c r="U16" s="262"/>
      <c r="V16" s="278" t="str">
        <f>IF(AND('Mapa final'!$I$26="Alta",'Mapa final'!$M$26="Moderado"),CONCATENATE("R",'Mapa final'!$A$26),"")</f>
        <v/>
      </c>
      <c r="W16" s="279"/>
      <c r="X16" s="279" t="e">
        <f>IF(AND('Mapa final'!#REF!="Alta",'Mapa final'!#REF!="Moderado"),CONCATENATE("R",'Mapa final'!#REF!),"")</f>
        <v>#REF!</v>
      </c>
      <c r="Y16" s="279"/>
      <c r="Z16" s="279" t="e">
        <f>IF(AND('Mapa final'!#REF!="Alta",'Mapa final'!#REF!="Moderado"),CONCATENATE("R",'Mapa final'!#REF!),"")</f>
        <v>#REF!</v>
      </c>
      <c r="AA16" s="280"/>
      <c r="AB16" s="278" t="str">
        <f>IF(AND('Mapa final'!$I$26="Alta",'Mapa final'!$M$26="Mayor"),CONCATENATE("R",'Mapa final'!$A$26),"")</f>
        <v/>
      </c>
      <c r="AC16" s="279"/>
      <c r="AD16" s="279" t="e">
        <f>IF(AND('Mapa final'!#REF!="Alta",'Mapa final'!#REF!="Mayor"),CONCATENATE("R",'Mapa final'!#REF!),"")</f>
        <v>#REF!</v>
      </c>
      <c r="AE16" s="279"/>
      <c r="AF16" s="279" t="e">
        <f>IF(AND('Mapa final'!#REF!="Alta",'Mapa final'!#REF!="Mayor"),CONCATENATE("R",'Mapa final'!#REF!),"")</f>
        <v>#REF!</v>
      </c>
      <c r="AG16" s="280"/>
      <c r="AH16" s="269" t="str">
        <f>IF(AND('Mapa final'!$I$26="Alta",'Mapa final'!$M$26="Catastrófico"),CONCATENATE("R",'Mapa final'!$A$26),"")</f>
        <v/>
      </c>
      <c r="AI16" s="270"/>
      <c r="AJ16" s="270" t="e">
        <f>IF(AND('Mapa final'!#REF!="Alta",'Mapa final'!#REF!="Catastrófico"),CONCATENATE("R",'Mapa final'!#REF!),"")</f>
        <v>#REF!</v>
      </c>
      <c r="AK16" s="270"/>
      <c r="AL16" s="270" t="e">
        <f>IF(AND('Mapa final'!#REF!="Alta",'Mapa final'!#REF!="Catastrófico"),CONCATENATE("R",'Mapa final'!#REF!),"")</f>
        <v>#REF!</v>
      </c>
      <c r="AM16" s="271"/>
      <c r="AN16" s="42"/>
      <c r="AO16" s="312"/>
      <c r="AP16" s="313"/>
      <c r="AQ16" s="313"/>
      <c r="AR16" s="313"/>
      <c r="AS16" s="313"/>
      <c r="AT16" s="314"/>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row>
    <row r="17" spans="1:80" ht="15" customHeight="1" x14ac:dyDescent="0.3">
      <c r="A17" s="42"/>
      <c r="B17" s="298"/>
      <c r="C17" s="298"/>
      <c r="D17" s="299"/>
      <c r="E17" s="291"/>
      <c r="F17" s="292"/>
      <c r="G17" s="292"/>
      <c r="H17" s="292"/>
      <c r="I17" s="292"/>
      <c r="J17" s="260"/>
      <c r="K17" s="261"/>
      <c r="L17" s="261"/>
      <c r="M17" s="261"/>
      <c r="N17" s="261"/>
      <c r="O17" s="262"/>
      <c r="P17" s="260"/>
      <c r="Q17" s="261"/>
      <c r="R17" s="261"/>
      <c r="S17" s="261"/>
      <c r="T17" s="261"/>
      <c r="U17" s="262"/>
      <c r="V17" s="278"/>
      <c r="W17" s="279"/>
      <c r="X17" s="279"/>
      <c r="Y17" s="279"/>
      <c r="Z17" s="279"/>
      <c r="AA17" s="280"/>
      <c r="AB17" s="278"/>
      <c r="AC17" s="279"/>
      <c r="AD17" s="279"/>
      <c r="AE17" s="279"/>
      <c r="AF17" s="279"/>
      <c r="AG17" s="280"/>
      <c r="AH17" s="269"/>
      <c r="AI17" s="270"/>
      <c r="AJ17" s="270"/>
      <c r="AK17" s="270"/>
      <c r="AL17" s="270"/>
      <c r="AM17" s="271"/>
      <c r="AN17" s="42"/>
      <c r="AO17" s="312"/>
      <c r="AP17" s="313"/>
      <c r="AQ17" s="313"/>
      <c r="AR17" s="313"/>
      <c r="AS17" s="313"/>
      <c r="AT17" s="314"/>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row>
    <row r="18" spans="1:80" ht="15" customHeight="1" x14ac:dyDescent="0.3">
      <c r="A18" s="42"/>
      <c r="B18" s="298"/>
      <c r="C18" s="298"/>
      <c r="D18" s="299"/>
      <c r="E18" s="291"/>
      <c r="F18" s="292"/>
      <c r="G18" s="292"/>
      <c r="H18" s="292"/>
      <c r="I18" s="292"/>
      <c r="J18" s="260" t="e">
        <f>IF(AND('Mapa final'!#REF!="Alta",'Mapa final'!#REF!="Leve"),CONCATENATE("R",'Mapa final'!#REF!),"")</f>
        <v>#REF!</v>
      </c>
      <c r="K18" s="261"/>
      <c r="L18" s="261" t="e">
        <f>IF(AND('Mapa final'!#REF!="Alta",'Mapa final'!#REF!="Leve"),CONCATENATE("R",'Mapa final'!#REF!),"")</f>
        <v>#REF!</v>
      </c>
      <c r="M18" s="261"/>
      <c r="N18" s="261" t="e">
        <f>IF(AND('Mapa final'!#REF!="Alta",'Mapa final'!#REF!="Leve"),CONCATENATE("R",'Mapa final'!#REF!),"")</f>
        <v>#REF!</v>
      </c>
      <c r="O18" s="262"/>
      <c r="P18" s="260" t="e">
        <f>IF(AND('Mapa final'!#REF!="Alta",'Mapa final'!#REF!="Menor"),CONCATENATE("R",'Mapa final'!#REF!),"")</f>
        <v>#REF!</v>
      </c>
      <c r="Q18" s="261"/>
      <c r="R18" s="261" t="e">
        <f>IF(AND('Mapa final'!#REF!="Alta",'Mapa final'!#REF!="Menor"),CONCATENATE("R",'Mapa final'!#REF!),"")</f>
        <v>#REF!</v>
      </c>
      <c r="S18" s="261"/>
      <c r="T18" s="261" t="e">
        <f>IF(AND('Mapa final'!#REF!="Alta",'Mapa final'!#REF!="Menor"),CONCATENATE("R",'Mapa final'!#REF!),"")</f>
        <v>#REF!</v>
      </c>
      <c r="U18" s="262"/>
      <c r="V18" s="278" t="e">
        <f>IF(AND('Mapa final'!#REF!="Alta",'Mapa final'!#REF!="Moderado"),CONCATENATE("R",'Mapa final'!#REF!),"")</f>
        <v>#REF!</v>
      </c>
      <c r="W18" s="279"/>
      <c r="X18" s="279" t="e">
        <f>IF(AND('Mapa final'!#REF!="Alta",'Mapa final'!#REF!="Moderado"),CONCATENATE("R",'Mapa final'!#REF!),"")</f>
        <v>#REF!</v>
      </c>
      <c r="Y18" s="279"/>
      <c r="Z18" s="279" t="e">
        <f>IF(AND('Mapa final'!#REF!="Alta",'Mapa final'!#REF!="Moderado"),CONCATENATE("R",'Mapa final'!#REF!),"")</f>
        <v>#REF!</v>
      </c>
      <c r="AA18" s="280"/>
      <c r="AB18" s="278" t="e">
        <f>IF(AND('Mapa final'!#REF!="Alta",'Mapa final'!#REF!="Mayor"),CONCATENATE("R",'Mapa final'!#REF!),"")</f>
        <v>#REF!</v>
      </c>
      <c r="AC18" s="279"/>
      <c r="AD18" s="279" t="e">
        <f>IF(AND('Mapa final'!#REF!="Alta",'Mapa final'!#REF!="Mayor"),CONCATENATE("R",'Mapa final'!#REF!),"")</f>
        <v>#REF!</v>
      </c>
      <c r="AE18" s="279"/>
      <c r="AF18" s="279" t="e">
        <f>IF(AND('Mapa final'!#REF!="Alta",'Mapa final'!#REF!="Mayor"),CONCATENATE("R",'Mapa final'!#REF!),"")</f>
        <v>#REF!</v>
      </c>
      <c r="AG18" s="280"/>
      <c r="AH18" s="269" t="e">
        <f>IF(AND('Mapa final'!#REF!="Alta",'Mapa final'!#REF!="Catastrófico"),CONCATENATE("R",'Mapa final'!#REF!),"")</f>
        <v>#REF!</v>
      </c>
      <c r="AI18" s="270"/>
      <c r="AJ18" s="270" t="e">
        <f>IF(AND('Mapa final'!#REF!="Alta",'Mapa final'!#REF!="Catastrófico"),CONCATENATE("R",'Mapa final'!#REF!),"")</f>
        <v>#REF!</v>
      </c>
      <c r="AK18" s="270"/>
      <c r="AL18" s="270" t="e">
        <f>IF(AND('Mapa final'!#REF!="Alta",'Mapa final'!#REF!="Catastrófico"),CONCATENATE("R",'Mapa final'!#REF!),"")</f>
        <v>#REF!</v>
      </c>
      <c r="AM18" s="271"/>
      <c r="AN18" s="42"/>
      <c r="AO18" s="312"/>
      <c r="AP18" s="313"/>
      <c r="AQ18" s="313"/>
      <c r="AR18" s="313"/>
      <c r="AS18" s="313"/>
      <c r="AT18" s="314"/>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row>
    <row r="19" spans="1:80" ht="15" customHeight="1" x14ac:dyDescent="0.3">
      <c r="A19" s="42"/>
      <c r="B19" s="298"/>
      <c r="C19" s="298"/>
      <c r="D19" s="299"/>
      <c r="E19" s="291"/>
      <c r="F19" s="292"/>
      <c r="G19" s="292"/>
      <c r="H19" s="292"/>
      <c r="I19" s="292"/>
      <c r="J19" s="260"/>
      <c r="K19" s="261"/>
      <c r="L19" s="261"/>
      <c r="M19" s="261"/>
      <c r="N19" s="261"/>
      <c r="O19" s="262"/>
      <c r="P19" s="260"/>
      <c r="Q19" s="261"/>
      <c r="R19" s="261"/>
      <c r="S19" s="261"/>
      <c r="T19" s="261"/>
      <c r="U19" s="262"/>
      <c r="V19" s="278"/>
      <c r="W19" s="279"/>
      <c r="X19" s="279"/>
      <c r="Y19" s="279"/>
      <c r="Z19" s="279"/>
      <c r="AA19" s="280"/>
      <c r="AB19" s="278"/>
      <c r="AC19" s="279"/>
      <c r="AD19" s="279"/>
      <c r="AE19" s="279"/>
      <c r="AF19" s="279"/>
      <c r="AG19" s="280"/>
      <c r="AH19" s="269"/>
      <c r="AI19" s="270"/>
      <c r="AJ19" s="270"/>
      <c r="AK19" s="270"/>
      <c r="AL19" s="270"/>
      <c r="AM19" s="271"/>
      <c r="AN19" s="42"/>
      <c r="AO19" s="312"/>
      <c r="AP19" s="313"/>
      <c r="AQ19" s="313"/>
      <c r="AR19" s="313"/>
      <c r="AS19" s="313"/>
      <c r="AT19" s="314"/>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row>
    <row r="20" spans="1:80" ht="15" customHeight="1" x14ac:dyDescent="0.3">
      <c r="A20" s="42"/>
      <c r="B20" s="298"/>
      <c r="C20" s="298"/>
      <c r="D20" s="299"/>
      <c r="E20" s="291"/>
      <c r="F20" s="292"/>
      <c r="G20" s="292"/>
      <c r="H20" s="292"/>
      <c r="I20" s="292"/>
      <c r="J20" s="260" t="e">
        <f>IF(AND('Mapa final'!#REF!="Alta",'Mapa final'!#REF!="Leve"),CONCATENATE("R",'Mapa final'!#REF!),"")</f>
        <v>#REF!</v>
      </c>
      <c r="K20" s="261"/>
      <c r="L20" s="261" t="e">
        <f>IF(AND('Mapa final'!#REF!="Alta",'Mapa final'!#REF!="Leve"),CONCATENATE("R",'Mapa final'!#REF!),"")</f>
        <v>#REF!</v>
      </c>
      <c r="M20" s="261"/>
      <c r="N20" s="261" t="str">
        <f>IF(AND('Mapa final'!$I$31="Alta",'Mapa final'!$M$31="Leve"),CONCATENATE("R",'Mapa final'!$A$31),"")</f>
        <v/>
      </c>
      <c r="O20" s="262"/>
      <c r="P20" s="260" t="e">
        <f>IF(AND('Mapa final'!#REF!="Alta",'Mapa final'!#REF!="Menor"),CONCATENATE("R",'Mapa final'!#REF!),"")</f>
        <v>#REF!</v>
      </c>
      <c r="Q20" s="261"/>
      <c r="R20" s="261" t="e">
        <f>IF(AND('Mapa final'!#REF!="Alta",'Mapa final'!#REF!="Menor"),CONCATENATE("R",'Mapa final'!#REF!),"")</f>
        <v>#REF!</v>
      </c>
      <c r="S20" s="261"/>
      <c r="T20" s="261" t="str">
        <f>IF(AND('Mapa final'!$I$31="Alta",'Mapa final'!$M$31="Menor"),CONCATENATE("R",'Mapa final'!$A$31),"")</f>
        <v/>
      </c>
      <c r="U20" s="262"/>
      <c r="V20" s="278" t="e">
        <f>IF(AND('Mapa final'!#REF!="Alta",'Mapa final'!#REF!="Moderado"),CONCATENATE("R",'Mapa final'!#REF!),"")</f>
        <v>#REF!</v>
      </c>
      <c r="W20" s="279"/>
      <c r="X20" s="279" t="e">
        <f>IF(AND('Mapa final'!#REF!="Alta",'Mapa final'!#REF!="Moderado"),CONCATENATE("R",'Mapa final'!#REF!),"")</f>
        <v>#REF!</v>
      </c>
      <c r="Y20" s="279"/>
      <c r="Z20" s="279" t="str">
        <f>IF(AND('Mapa final'!$I$31="Alta",'Mapa final'!$M$31="Moderado"),CONCATENATE("R",'Mapa final'!$A$31),"")</f>
        <v/>
      </c>
      <c r="AA20" s="280"/>
      <c r="AB20" s="278" t="e">
        <f>IF(AND('Mapa final'!#REF!="Alta",'Mapa final'!#REF!="Mayor"),CONCATENATE("R",'Mapa final'!#REF!),"")</f>
        <v>#REF!</v>
      </c>
      <c r="AC20" s="279"/>
      <c r="AD20" s="279" t="e">
        <f>IF(AND('Mapa final'!#REF!="Alta",'Mapa final'!#REF!="Mayor"),CONCATENATE("R",'Mapa final'!#REF!),"")</f>
        <v>#REF!</v>
      </c>
      <c r="AE20" s="279"/>
      <c r="AF20" s="279" t="str">
        <f>IF(AND('Mapa final'!$I$31="Alta",'Mapa final'!$M$31="Mayor"),CONCATENATE("R",'Mapa final'!$A$31),"")</f>
        <v/>
      </c>
      <c r="AG20" s="280"/>
      <c r="AH20" s="269" t="e">
        <f>IF(AND('Mapa final'!#REF!="Alta",'Mapa final'!#REF!="Catastrófico"),CONCATENATE("R",'Mapa final'!#REF!),"")</f>
        <v>#REF!</v>
      </c>
      <c r="AI20" s="270"/>
      <c r="AJ20" s="270" t="e">
        <f>IF(AND('Mapa final'!#REF!="Alta",'Mapa final'!#REF!="Catastrófico"),CONCATENATE("R",'Mapa final'!#REF!),"")</f>
        <v>#REF!</v>
      </c>
      <c r="AK20" s="270"/>
      <c r="AL20" s="270" t="str">
        <f>IF(AND('Mapa final'!$I$31="Alta",'Mapa final'!$M$31="Catastrófico"),CONCATENATE("R",'Mapa final'!$A$31),"")</f>
        <v/>
      </c>
      <c r="AM20" s="271"/>
      <c r="AN20" s="42"/>
      <c r="AO20" s="312"/>
      <c r="AP20" s="313"/>
      <c r="AQ20" s="313"/>
      <c r="AR20" s="313"/>
      <c r="AS20" s="313"/>
      <c r="AT20" s="314"/>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row>
    <row r="21" spans="1:80" ht="16.2" customHeight="1" thickBot="1" x14ac:dyDescent="0.35">
      <c r="A21" s="42"/>
      <c r="B21" s="298"/>
      <c r="C21" s="298"/>
      <c r="D21" s="299"/>
      <c r="E21" s="294"/>
      <c r="F21" s="295"/>
      <c r="G21" s="295"/>
      <c r="H21" s="295"/>
      <c r="I21" s="295"/>
      <c r="J21" s="263"/>
      <c r="K21" s="264"/>
      <c r="L21" s="264"/>
      <c r="M21" s="264"/>
      <c r="N21" s="264"/>
      <c r="O21" s="265"/>
      <c r="P21" s="263"/>
      <c r="Q21" s="264"/>
      <c r="R21" s="264"/>
      <c r="S21" s="264"/>
      <c r="T21" s="264"/>
      <c r="U21" s="265"/>
      <c r="V21" s="281"/>
      <c r="W21" s="282"/>
      <c r="X21" s="282"/>
      <c r="Y21" s="282"/>
      <c r="Z21" s="282"/>
      <c r="AA21" s="283"/>
      <c r="AB21" s="281"/>
      <c r="AC21" s="282"/>
      <c r="AD21" s="282"/>
      <c r="AE21" s="282"/>
      <c r="AF21" s="282"/>
      <c r="AG21" s="283"/>
      <c r="AH21" s="272"/>
      <c r="AI21" s="273"/>
      <c r="AJ21" s="273"/>
      <c r="AK21" s="273"/>
      <c r="AL21" s="273"/>
      <c r="AM21" s="274"/>
      <c r="AN21" s="42"/>
      <c r="AO21" s="315"/>
      <c r="AP21" s="316"/>
      <c r="AQ21" s="316"/>
      <c r="AR21" s="316"/>
      <c r="AS21" s="316"/>
      <c r="AT21" s="317"/>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row>
    <row r="22" spans="1:80" x14ac:dyDescent="0.3">
      <c r="A22" s="42"/>
      <c r="B22" s="298"/>
      <c r="C22" s="298"/>
      <c r="D22" s="299"/>
      <c r="E22" s="288" t="s">
        <v>208</v>
      </c>
      <c r="F22" s="289"/>
      <c r="G22" s="289"/>
      <c r="H22" s="289"/>
      <c r="I22" s="290"/>
      <c r="J22" s="266" t="str">
        <f>IF(AND('Mapa final'!$I$11="Media",'Mapa final'!$M$11="Leve"),CONCATENATE("R",'Mapa final'!$A$11),"")</f>
        <v/>
      </c>
      <c r="K22" s="267"/>
      <c r="L22" s="267" t="str">
        <f>IF(AND('Mapa final'!$I$17="Media",'Mapa final'!$M$17="Leve"),CONCATENATE("R",'Mapa final'!$A$17),"")</f>
        <v/>
      </c>
      <c r="M22" s="267"/>
      <c r="N22" s="267" t="str">
        <f>IF(AND('Mapa final'!$I$20="Media",'Mapa final'!$M$20="Leve"),CONCATENATE("R",'Mapa final'!$A$20),"")</f>
        <v/>
      </c>
      <c r="O22" s="268"/>
      <c r="P22" s="266" t="str">
        <f>IF(AND('Mapa final'!$I$11="Media",'Mapa final'!$M$11="Menor"),CONCATENATE("R",'Mapa final'!$A$11),"")</f>
        <v/>
      </c>
      <c r="Q22" s="267"/>
      <c r="R22" s="267" t="str">
        <f>IF(AND('Mapa final'!$I$17="Media",'Mapa final'!$M$17="Menor"),CONCATENATE("R",'Mapa final'!$A$17),"")</f>
        <v/>
      </c>
      <c r="S22" s="267"/>
      <c r="T22" s="267" t="str">
        <f>IF(AND('Mapa final'!$I$20="Media",'Mapa final'!$M$20="Menor"),CONCATENATE("R",'Mapa final'!$A$20),"")</f>
        <v/>
      </c>
      <c r="U22" s="268"/>
      <c r="V22" s="266" t="str">
        <f>IF(AND('Mapa final'!$I$11="Media",'Mapa final'!$M$11="Moderado"),CONCATENATE("R",'Mapa final'!$A$11),"")</f>
        <v/>
      </c>
      <c r="W22" s="267"/>
      <c r="X22" s="267" t="str">
        <f>IF(AND('Mapa final'!$I$17="Media",'Mapa final'!$M$17="Moderado"),CONCATENATE("R",'Mapa final'!$A$17),"")</f>
        <v/>
      </c>
      <c r="Y22" s="267"/>
      <c r="Z22" s="267" t="str">
        <f>IF(AND('Mapa final'!$I$20="Media",'Mapa final'!$M$20="Moderado"),CONCATENATE("R",'Mapa final'!$A$20),"")</f>
        <v/>
      </c>
      <c r="AA22" s="268"/>
      <c r="AB22" s="284" t="str">
        <f>IF(AND('Mapa final'!$I$11="Media",'Mapa final'!$M$11="Mayor"),CONCATENATE("R",'Mapa final'!$A$11),"")</f>
        <v/>
      </c>
      <c r="AC22" s="285"/>
      <c r="AD22" s="285" t="str">
        <f>IF(AND('Mapa final'!$I$17="Media",'Mapa final'!$M$17="Mayor"),CONCATENATE("R",'Mapa final'!$A$17),"")</f>
        <v/>
      </c>
      <c r="AE22" s="285"/>
      <c r="AF22" s="285" t="str">
        <f>IF(AND('Mapa final'!$I$20="Media",'Mapa final'!$M$20="Mayor"),CONCATENATE("R",'Mapa final'!$A$20),"")</f>
        <v/>
      </c>
      <c r="AG22" s="286"/>
      <c r="AH22" s="275" t="str">
        <f>IF(AND('Mapa final'!$I$11="Media",'Mapa final'!$M$11="Catastrófico"),CONCATENATE("R",'Mapa final'!$A$11),"")</f>
        <v/>
      </c>
      <c r="AI22" s="276"/>
      <c r="AJ22" s="276" t="str">
        <f>IF(AND('Mapa final'!$I$17="Media",'Mapa final'!$M$17="Catastrófico"),CONCATENATE("R",'Mapa final'!$A$17),"")</f>
        <v/>
      </c>
      <c r="AK22" s="276"/>
      <c r="AL22" s="276" t="str">
        <f>IF(AND('Mapa final'!$I$20="Media",'Mapa final'!$M$20="Catastrófico"),CONCATENATE("R",'Mapa final'!$A$20),"")</f>
        <v/>
      </c>
      <c r="AM22" s="277"/>
      <c r="AN22" s="42"/>
      <c r="AO22" s="318" t="s">
        <v>209</v>
      </c>
      <c r="AP22" s="319"/>
      <c r="AQ22" s="319"/>
      <c r="AR22" s="319"/>
      <c r="AS22" s="319"/>
      <c r="AT22" s="320"/>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row>
    <row r="23" spans="1:80" x14ac:dyDescent="0.3">
      <c r="A23" s="42"/>
      <c r="B23" s="298"/>
      <c r="C23" s="298"/>
      <c r="D23" s="299"/>
      <c r="E23" s="291"/>
      <c r="F23" s="292"/>
      <c r="G23" s="292"/>
      <c r="H23" s="292"/>
      <c r="I23" s="293"/>
      <c r="J23" s="260"/>
      <c r="K23" s="261"/>
      <c r="L23" s="261"/>
      <c r="M23" s="261"/>
      <c r="N23" s="261"/>
      <c r="O23" s="262"/>
      <c r="P23" s="260"/>
      <c r="Q23" s="261"/>
      <c r="R23" s="261"/>
      <c r="S23" s="261"/>
      <c r="T23" s="261"/>
      <c r="U23" s="262"/>
      <c r="V23" s="260"/>
      <c r="W23" s="261"/>
      <c r="X23" s="261"/>
      <c r="Y23" s="261"/>
      <c r="Z23" s="261"/>
      <c r="AA23" s="262"/>
      <c r="AB23" s="278"/>
      <c r="AC23" s="279"/>
      <c r="AD23" s="279"/>
      <c r="AE23" s="279"/>
      <c r="AF23" s="279"/>
      <c r="AG23" s="280"/>
      <c r="AH23" s="269"/>
      <c r="AI23" s="270"/>
      <c r="AJ23" s="270"/>
      <c r="AK23" s="270"/>
      <c r="AL23" s="270"/>
      <c r="AM23" s="271"/>
      <c r="AN23" s="42"/>
      <c r="AO23" s="321"/>
      <c r="AP23" s="322"/>
      <c r="AQ23" s="322"/>
      <c r="AR23" s="322"/>
      <c r="AS23" s="322"/>
      <c r="AT23" s="323"/>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row>
    <row r="24" spans="1:80" x14ac:dyDescent="0.3">
      <c r="A24" s="42"/>
      <c r="B24" s="298"/>
      <c r="C24" s="298"/>
      <c r="D24" s="299"/>
      <c r="E24" s="291"/>
      <c r="F24" s="292"/>
      <c r="G24" s="292"/>
      <c r="H24" s="292"/>
      <c r="I24" s="293"/>
      <c r="J24" s="260" t="str">
        <f>IF(AND('Mapa final'!$I$26="Media",'Mapa final'!$M$26="Leve"),CONCATENATE("R",'Mapa final'!$A$26),"")</f>
        <v/>
      </c>
      <c r="K24" s="261"/>
      <c r="L24" s="261" t="e">
        <f>IF(AND('Mapa final'!#REF!="Media",'Mapa final'!#REF!="Leve"),CONCATENATE("R",'Mapa final'!#REF!),"")</f>
        <v>#REF!</v>
      </c>
      <c r="M24" s="261"/>
      <c r="N24" s="261" t="e">
        <f>IF(AND('Mapa final'!#REF!="Media",'Mapa final'!#REF!="Leve"),CONCATENATE("R",'Mapa final'!#REF!),"")</f>
        <v>#REF!</v>
      </c>
      <c r="O24" s="262"/>
      <c r="P24" s="260" t="str">
        <f>IF(AND('Mapa final'!$I$26="Media",'Mapa final'!$M$26="Menor"),CONCATENATE("R",'Mapa final'!$A$26),"")</f>
        <v>R16</v>
      </c>
      <c r="Q24" s="261"/>
      <c r="R24" s="261" t="e">
        <f>IF(AND('Mapa final'!#REF!="Media",'Mapa final'!#REF!="Menor"),CONCATENATE("R",'Mapa final'!#REF!),"")</f>
        <v>#REF!</v>
      </c>
      <c r="S24" s="261"/>
      <c r="T24" s="261" t="e">
        <f>IF(AND('Mapa final'!#REF!="Media",'Mapa final'!#REF!="Menor"),CONCATENATE("R",'Mapa final'!#REF!),"")</f>
        <v>#REF!</v>
      </c>
      <c r="U24" s="262"/>
      <c r="V24" s="260" t="str">
        <f>IF(AND('Mapa final'!$I$26="Media",'Mapa final'!$M$26="Moderado"),CONCATENATE("R",'Mapa final'!$A$26),"")</f>
        <v/>
      </c>
      <c r="W24" s="261"/>
      <c r="X24" s="261" t="e">
        <f>IF(AND('Mapa final'!#REF!="Media",'Mapa final'!#REF!="Moderado"),CONCATENATE("R",'Mapa final'!#REF!),"")</f>
        <v>#REF!</v>
      </c>
      <c r="Y24" s="261"/>
      <c r="Z24" s="261" t="e">
        <f>IF(AND('Mapa final'!#REF!="Media",'Mapa final'!#REF!="Moderado"),CONCATENATE("R",'Mapa final'!#REF!),"")</f>
        <v>#REF!</v>
      </c>
      <c r="AA24" s="262"/>
      <c r="AB24" s="278" t="str">
        <f>IF(AND('Mapa final'!$I$26="Media",'Mapa final'!$M$26="Mayor"),CONCATENATE("R",'Mapa final'!$A$26),"")</f>
        <v/>
      </c>
      <c r="AC24" s="279"/>
      <c r="AD24" s="279" t="e">
        <f>IF(AND('Mapa final'!#REF!="Media",'Mapa final'!#REF!="Mayor"),CONCATENATE("R",'Mapa final'!#REF!),"")</f>
        <v>#REF!</v>
      </c>
      <c r="AE24" s="279"/>
      <c r="AF24" s="279" t="e">
        <f>IF(AND('Mapa final'!#REF!="Media",'Mapa final'!#REF!="Mayor"),CONCATENATE("R",'Mapa final'!#REF!),"")</f>
        <v>#REF!</v>
      </c>
      <c r="AG24" s="280"/>
      <c r="AH24" s="269" t="str">
        <f>IF(AND('Mapa final'!$I$26="Media",'Mapa final'!$M$26="Catastrófico"),CONCATENATE("R",'Mapa final'!$A$26),"")</f>
        <v/>
      </c>
      <c r="AI24" s="270"/>
      <c r="AJ24" s="270" t="e">
        <f>IF(AND('Mapa final'!#REF!="Media",'Mapa final'!#REF!="Catastrófico"),CONCATENATE("R",'Mapa final'!#REF!),"")</f>
        <v>#REF!</v>
      </c>
      <c r="AK24" s="270"/>
      <c r="AL24" s="270" t="e">
        <f>IF(AND('Mapa final'!#REF!="Media",'Mapa final'!#REF!="Catastrófico"),CONCATENATE("R",'Mapa final'!#REF!),"")</f>
        <v>#REF!</v>
      </c>
      <c r="AM24" s="271"/>
      <c r="AN24" s="42"/>
      <c r="AO24" s="321"/>
      <c r="AP24" s="322"/>
      <c r="AQ24" s="322"/>
      <c r="AR24" s="322"/>
      <c r="AS24" s="322"/>
      <c r="AT24" s="323"/>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row>
    <row r="25" spans="1:80" x14ac:dyDescent="0.3">
      <c r="A25" s="42"/>
      <c r="B25" s="298"/>
      <c r="C25" s="298"/>
      <c r="D25" s="299"/>
      <c r="E25" s="291"/>
      <c r="F25" s="292"/>
      <c r="G25" s="292"/>
      <c r="H25" s="292"/>
      <c r="I25" s="293"/>
      <c r="J25" s="260"/>
      <c r="K25" s="261"/>
      <c r="L25" s="261"/>
      <c r="M25" s="261"/>
      <c r="N25" s="261"/>
      <c r="O25" s="262"/>
      <c r="P25" s="260"/>
      <c r="Q25" s="261"/>
      <c r="R25" s="261"/>
      <c r="S25" s="261"/>
      <c r="T25" s="261"/>
      <c r="U25" s="262"/>
      <c r="V25" s="260"/>
      <c r="W25" s="261"/>
      <c r="X25" s="261"/>
      <c r="Y25" s="261"/>
      <c r="Z25" s="261"/>
      <c r="AA25" s="262"/>
      <c r="AB25" s="278"/>
      <c r="AC25" s="279"/>
      <c r="AD25" s="279"/>
      <c r="AE25" s="279"/>
      <c r="AF25" s="279"/>
      <c r="AG25" s="280"/>
      <c r="AH25" s="269"/>
      <c r="AI25" s="270"/>
      <c r="AJ25" s="270"/>
      <c r="AK25" s="270"/>
      <c r="AL25" s="270"/>
      <c r="AM25" s="271"/>
      <c r="AN25" s="42"/>
      <c r="AO25" s="321"/>
      <c r="AP25" s="322"/>
      <c r="AQ25" s="322"/>
      <c r="AR25" s="322"/>
      <c r="AS25" s="322"/>
      <c r="AT25" s="323"/>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row>
    <row r="26" spans="1:80" x14ac:dyDescent="0.3">
      <c r="A26" s="42"/>
      <c r="B26" s="298"/>
      <c r="C26" s="298"/>
      <c r="D26" s="299"/>
      <c r="E26" s="291"/>
      <c r="F26" s="292"/>
      <c r="G26" s="292"/>
      <c r="H26" s="292"/>
      <c r="I26" s="293"/>
      <c r="J26" s="260" t="e">
        <f>IF(AND('Mapa final'!#REF!="Media",'Mapa final'!#REF!="Leve"),CONCATENATE("R",'Mapa final'!#REF!),"")</f>
        <v>#REF!</v>
      </c>
      <c r="K26" s="261"/>
      <c r="L26" s="261" t="e">
        <f>IF(AND('Mapa final'!#REF!="Media",'Mapa final'!#REF!="Leve"),CONCATENATE("R",'Mapa final'!#REF!),"")</f>
        <v>#REF!</v>
      </c>
      <c r="M26" s="261"/>
      <c r="N26" s="261" t="e">
        <f>IF(AND('Mapa final'!#REF!="Media",'Mapa final'!#REF!="Leve"),CONCATENATE("R",'Mapa final'!#REF!),"")</f>
        <v>#REF!</v>
      </c>
      <c r="O26" s="262"/>
      <c r="P26" s="260" t="e">
        <f>IF(AND('Mapa final'!#REF!="Media",'Mapa final'!#REF!="Menor"),CONCATENATE("R",'Mapa final'!#REF!),"")</f>
        <v>#REF!</v>
      </c>
      <c r="Q26" s="261"/>
      <c r="R26" s="261" t="e">
        <f>IF(AND('Mapa final'!#REF!="Media",'Mapa final'!#REF!="Menor"),CONCATENATE("R",'Mapa final'!#REF!),"")</f>
        <v>#REF!</v>
      </c>
      <c r="S26" s="261"/>
      <c r="T26" s="261" t="e">
        <f>IF(AND('Mapa final'!#REF!="Media",'Mapa final'!#REF!="Menor"),CONCATENATE("R",'Mapa final'!#REF!),"")</f>
        <v>#REF!</v>
      </c>
      <c r="U26" s="262"/>
      <c r="V26" s="260" t="e">
        <f>IF(AND('Mapa final'!#REF!="Media",'Mapa final'!#REF!="Moderado"),CONCATENATE("R",'Mapa final'!#REF!),"")</f>
        <v>#REF!</v>
      </c>
      <c r="W26" s="261"/>
      <c r="X26" s="261" t="e">
        <f>IF(AND('Mapa final'!#REF!="Media",'Mapa final'!#REF!="Moderado"),CONCATENATE("R",'Mapa final'!#REF!),"")</f>
        <v>#REF!</v>
      </c>
      <c r="Y26" s="261"/>
      <c r="Z26" s="261" t="e">
        <f>IF(AND('Mapa final'!#REF!="Media",'Mapa final'!#REF!="Moderado"),CONCATENATE("R",'Mapa final'!#REF!),"")</f>
        <v>#REF!</v>
      </c>
      <c r="AA26" s="262"/>
      <c r="AB26" s="278" t="e">
        <f>IF(AND('Mapa final'!#REF!="Media",'Mapa final'!#REF!="Mayor"),CONCATENATE("R",'Mapa final'!#REF!),"")</f>
        <v>#REF!</v>
      </c>
      <c r="AC26" s="279"/>
      <c r="AD26" s="279" t="e">
        <f>IF(AND('Mapa final'!#REF!="Media",'Mapa final'!#REF!="Mayor"),CONCATENATE("R",'Mapa final'!#REF!),"")</f>
        <v>#REF!</v>
      </c>
      <c r="AE26" s="279"/>
      <c r="AF26" s="279" t="e">
        <f>IF(AND('Mapa final'!#REF!="Media",'Mapa final'!#REF!="Mayor"),CONCATENATE("R",'Mapa final'!#REF!),"")</f>
        <v>#REF!</v>
      </c>
      <c r="AG26" s="280"/>
      <c r="AH26" s="269" t="e">
        <f>IF(AND('Mapa final'!#REF!="Media",'Mapa final'!#REF!="Catastrófico"),CONCATENATE("R",'Mapa final'!#REF!),"")</f>
        <v>#REF!</v>
      </c>
      <c r="AI26" s="270"/>
      <c r="AJ26" s="270" t="e">
        <f>IF(AND('Mapa final'!#REF!="Media",'Mapa final'!#REF!="Catastrófico"),CONCATENATE("R",'Mapa final'!#REF!),"")</f>
        <v>#REF!</v>
      </c>
      <c r="AK26" s="270"/>
      <c r="AL26" s="270" t="e">
        <f>IF(AND('Mapa final'!#REF!="Media",'Mapa final'!#REF!="Catastrófico"),CONCATENATE("R",'Mapa final'!#REF!),"")</f>
        <v>#REF!</v>
      </c>
      <c r="AM26" s="271"/>
      <c r="AN26" s="42"/>
      <c r="AO26" s="321"/>
      <c r="AP26" s="322"/>
      <c r="AQ26" s="322"/>
      <c r="AR26" s="322"/>
      <c r="AS26" s="322"/>
      <c r="AT26" s="323"/>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row>
    <row r="27" spans="1:80" x14ac:dyDescent="0.3">
      <c r="A27" s="42"/>
      <c r="B27" s="298"/>
      <c r="C27" s="298"/>
      <c r="D27" s="299"/>
      <c r="E27" s="291"/>
      <c r="F27" s="292"/>
      <c r="G27" s="292"/>
      <c r="H27" s="292"/>
      <c r="I27" s="293"/>
      <c r="J27" s="260"/>
      <c r="K27" s="261"/>
      <c r="L27" s="261"/>
      <c r="M27" s="261"/>
      <c r="N27" s="261"/>
      <c r="O27" s="262"/>
      <c r="P27" s="260"/>
      <c r="Q27" s="261"/>
      <c r="R27" s="261"/>
      <c r="S27" s="261"/>
      <c r="T27" s="261"/>
      <c r="U27" s="262"/>
      <c r="V27" s="260"/>
      <c r="W27" s="261"/>
      <c r="X27" s="261"/>
      <c r="Y27" s="261"/>
      <c r="Z27" s="261"/>
      <c r="AA27" s="262"/>
      <c r="AB27" s="278"/>
      <c r="AC27" s="279"/>
      <c r="AD27" s="279"/>
      <c r="AE27" s="279"/>
      <c r="AF27" s="279"/>
      <c r="AG27" s="280"/>
      <c r="AH27" s="269"/>
      <c r="AI27" s="270"/>
      <c r="AJ27" s="270"/>
      <c r="AK27" s="270"/>
      <c r="AL27" s="270"/>
      <c r="AM27" s="271"/>
      <c r="AN27" s="42"/>
      <c r="AO27" s="321"/>
      <c r="AP27" s="322"/>
      <c r="AQ27" s="322"/>
      <c r="AR27" s="322"/>
      <c r="AS27" s="322"/>
      <c r="AT27" s="323"/>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row>
    <row r="28" spans="1:80" x14ac:dyDescent="0.3">
      <c r="A28" s="42"/>
      <c r="B28" s="298"/>
      <c r="C28" s="298"/>
      <c r="D28" s="299"/>
      <c r="E28" s="291"/>
      <c r="F28" s="292"/>
      <c r="G28" s="292"/>
      <c r="H28" s="292"/>
      <c r="I28" s="293"/>
      <c r="J28" s="260" t="e">
        <f>IF(AND('Mapa final'!#REF!="Media",'Mapa final'!#REF!="Leve"),CONCATENATE("R",'Mapa final'!#REF!),"")</f>
        <v>#REF!</v>
      </c>
      <c r="K28" s="261"/>
      <c r="L28" s="261" t="e">
        <f>IF(AND('Mapa final'!#REF!="Media",'Mapa final'!#REF!="Leve"),CONCATENATE("R",'Mapa final'!#REF!),"")</f>
        <v>#REF!</v>
      </c>
      <c r="M28" s="261"/>
      <c r="N28" s="261" t="str">
        <f>IF(AND('Mapa final'!$I$31="Media",'Mapa final'!$M$31="Leve"),CONCATENATE("R",'Mapa final'!$A$31),"")</f>
        <v/>
      </c>
      <c r="O28" s="262"/>
      <c r="P28" s="260" t="e">
        <f>IF(AND('Mapa final'!#REF!="Media",'Mapa final'!#REF!="Menor"),CONCATENATE("R",'Mapa final'!#REF!),"")</f>
        <v>#REF!</v>
      </c>
      <c r="Q28" s="261"/>
      <c r="R28" s="261" t="e">
        <f>IF(AND('Mapa final'!#REF!="Media",'Mapa final'!#REF!="Menor"),CONCATENATE("R",'Mapa final'!#REF!),"")</f>
        <v>#REF!</v>
      </c>
      <c r="S28" s="261"/>
      <c r="T28" s="261" t="str">
        <f>IF(AND('Mapa final'!$I$31="Media",'Mapa final'!$M$31="Menor"),CONCATENATE("R",'Mapa final'!$A$31),"")</f>
        <v/>
      </c>
      <c r="U28" s="262"/>
      <c r="V28" s="260" t="e">
        <f>IF(AND('Mapa final'!#REF!="Media",'Mapa final'!#REF!="Moderado"),CONCATENATE("R",'Mapa final'!#REF!),"")</f>
        <v>#REF!</v>
      </c>
      <c r="W28" s="261"/>
      <c r="X28" s="261" t="e">
        <f>IF(AND('Mapa final'!#REF!="Media",'Mapa final'!#REF!="Moderado"),CONCATENATE("R",'Mapa final'!#REF!),"")</f>
        <v>#REF!</v>
      </c>
      <c r="Y28" s="261"/>
      <c r="Z28" s="261" t="str">
        <f>IF(AND('Mapa final'!$I$31="Media",'Mapa final'!$M$31="Moderado"),CONCATENATE("R",'Mapa final'!$A$31),"")</f>
        <v/>
      </c>
      <c r="AA28" s="262"/>
      <c r="AB28" s="278" t="e">
        <f>IF(AND('Mapa final'!#REF!="Media",'Mapa final'!#REF!="Mayor"),CONCATENATE("R",'Mapa final'!#REF!),"")</f>
        <v>#REF!</v>
      </c>
      <c r="AC28" s="279"/>
      <c r="AD28" s="279" t="e">
        <f>IF(AND('Mapa final'!#REF!="Media",'Mapa final'!#REF!="Mayor"),CONCATENATE("R",'Mapa final'!#REF!),"")</f>
        <v>#REF!</v>
      </c>
      <c r="AE28" s="279"/>
      <c r="AF28" s="279" t="str">
        <f>IF(AND('Mapa final'!$I$31="Media",'Mapa final'!$M$31="Mayor"),CONCATENATE("R",'Mapa final'!$A$31),"")</f>
        <v/>
      </c>
      <c r="AG28" s="280"/>
      <c r="AH28" s="269" t="e">
        <f>IF(AND('Mapa final'!#REF!="Media",'Mapa final'!#REF!="Catastrófico"),CONCATENATE("R",'Mapa final'!#REF!),"")</f>
        <v>#REF!</v>
      </c>
      <c r="AI28" s="270"/>
      <c r="AJ28" s="270" t="e">
        <f>IF(AND('Mapa final'!#REF!="Media",'Mapa final'!#REF!="Catastrófico"),CONCATENATE("R",'Mapa final'!#REF!),"")</f>
        <v>#REF!</v>
      </c>
      <c r="AK28" s="270"/>
      <c r="AL28" s="270" t="str">
        <f>IF(AND('Mapa final'!$I$31="Media",'Mapa final'!$M$31="Catastrófico"),CONCATENATE("R",'Mapa final'!$A$31),"")</f>
        <v/>
      </c>
      <c r="AM28" s="271"/>
      <c r="AN28" s="42"/>
      <c r="AO28" s="321"/>
      <c r="AP28" s="322"/>
      <c r="AQ28" s="322"/>
      <c r="AR28" s="322"/>
      <c r="AS28" s="322"/>
      <c r="AT28" s="323"/>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row>
    <row r="29" spans="1:80" ht="15" thickBot="1" x14ac:dyDescent="0.35">
      <c r="A29" s="42"/>
      <c r="B29" s="298"/>
      <c r="C29" s="298"/>
      <c r="D29" s="299"/>
      <c r="E29" s="294"/>
      <c r="F29" s="295"/>
      <c r="G29" s="295"/>
      <c r="H29" s="295"/>
      <c r="I29" s="296"/>
      <c r="J29" s="260"/>
      <c r="K29" s="261"/>
      <c r="L29" s="261"/>
      <c r="M29" s="261"/>
      <c r="N29" s="261"/>
      <c r="O29" s="262"/>
      <c r="P29" s="263"/>
      <c r="Q29" s="264"/>
      <c r="R29" s="264"/>
      <c r="S29" s="264"/>
      <c r="T29" s="264"/>
      <c r="U29" s="265"/>
      <c r="V29" s="263"/>
      <c r="W29" s="264"/>
      <c r="X29" s="264"/>
      <c r="Y29" s="264"/>
      <c r="Z29" s="264"/>
      <c r="AA29" s="265"/>
      <c r="AB29" s="281"/>
      <c r="AC29" s="282"/>
      <c r="AD29" s="282"/>
      <c r="AE29" s="282"/>
      <c r="AF29" s="282"/>
      <c r="AG29" s="283"/>
      <c r="AH29" s="272"/>
      <c r="AI29" s="273"/>
      <c r="AJ29" s="273"/>
      <c r="AK29" s="273"/>
      <c r="AL29" s="273"/>
      <c r="AM29" s="274"/>
      <c r="AN29" s="42"/>
      <c r="AO29" s="324"/>
      <c r="AP29" s="325"/>
      <c r="AQ29" s="325"/>
      <c r="AR29" s="325"/>
      <c r="AS29" s="325"/>
      <c r="AT29" s="326"/>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row>
    <row r="30" spans="1:80" x14ac:dyDescent="0.3">
      <c r="A30" s="42"/>
      <c r="B30" s="298"/>
      <c r="C30" s="298"/>
      <c r="D30" s="299"/>
      <c r="E30" s="288" t="s">
        <v>210</v>
      </c>
      <c r="F30" s="289"/>
      <c r="G30" s="289"/>
      <c r="H30" s="289"/>
      <c r="I30" s="289"/>
      <c r="J30" s="257" t="str">
        <f>IF(AND('Mapa final'!$I$11="Baja",'Mapa final'!$M$11="Leve"),CONCATENATE("R",'Mapa final'!$A$11),"")</f>
        <v/>
      </c>
      <c r="K30" s="258"/>
      <c r="L30" s="258" t="str">
        <f>IF(AND('Mapa final'!$I$17="Baja",'Mapa final'!$M$17="Leve"),CONCATENATE("R",'Mapa final'!$A$17),"")</f>
        <v/>
      </c>
      <c r="M30" s="258"/>
      <c r="N30" s="258" t="str">
        <f>IF(AND('Mapa final'!$I$20="Baja",'Mapa final'!$M$20="Leve"),CONCATENATE("R",'Mapa final'!$A$20),"")</f>
        <v>R10</v>
      </c>
      <c r="O30" s="259"/>
      <c r="P30" s="267" t="str">
        <f>IF(AND('Mapa final'!$I$11="Baja",'Mapa final'!$M$11="Menor"),CONCATENATE("R",'Mapa final'!$A$11),"")</f>
        <v/>
      </c>
      <c r="Q30" s="267"/>
      <c r="R30" s="267" t="str">
        <f>IF(AND('Mapa final'!$I$17="Baja",'Mapa final'!$M$17="Menor"),CONCATENATE("R",'Mapa final'!$A$17),"")</f>
        <v/>
      </c>
      <c r="S30" s="267"/>
      <c r="T30" s="267" t="str">
        <f>IF(AND('Mapa final'!$I$20="Baja",'Mapa final'!$M$20="Menor"),CONCATENATE("R",'Mapa final'!$A$20),"")</f>
        <v/>
      </c>
      <c r="U30" s="268"/>
      <c r="V30" s="266" t="str">
        <f>IF(AND('Mapa final'!$I$11="Baja",'Mapa final'!$M$11="Moderado"),CONCATENATE("R",'Mapa final'!$A$11),"")</f>
        <v/>
      </c>
      <c r="W30" s="267"/>
      <c r="X30" s="267" t="str">
        <f>IF(AND('Mapa final'!$I$17="Baja",'Mapa final'!$M$17="Moderado"),CONCATENATE("R",'Mapa final'!$A$17),"")</f>
        <v>R7</v>
      </c>
      <c r="Y30" s="267"/>
      <c r="Z30" s="267" t="str">
        <f>IF(AND('Mapa final'!$I$20="Baja",'Mapa final'!$M$20="Moderado"),CONCATENATE("R",'Mapa final'!$A$20),"")</f>
        <v/>
      </c>
      <c r="AA30" s="268"/>
      <c r="AB30" s="284" t="str">
        <f>IF(AND('Mapa final'!$I$11="Baja",'Mapa final'!$M$11="Mayor"),CONCATENATE("R",'Mapa final'!$A$11),"")</f>
        <v/>
      </c>
      <c r="AC30" s="285"/>
      <c r="AD30" s="285" t="str">
        <f>IF(AND('Mapa final'!$I$17="Baja",'Mapa final'!$M$17="Mayor"),CONCATENATE("R",'Mapa final'!$A$17),"")</f>
        <v/>
      </c>
      <c r="AE30" s="285"/>
      <c r="AF30" s="285" t="str">
        <f>IF(AND('Mapa final'!$I$20="Baja",'Mapa final'!$M$20="Mayor"),CONCATENATE("R",'Mapa final'!$A$20),"")</f>
        <v/>
      </c>
      <c r="AG30" s="286"/>
      <c r="AH30" s="275" t="str">
        <f>IF(AND('Mapa final'!$I$11="Baja",'Mapa final'!$M$11="Catastrófico"),CONCATENATE("R",'Mapa final'!$A$11),"")</f>
        <v/>
      </c>
      <c r="AI30" s="276"/>
      <c r="AJ30" s="276" t="str">
        <f>IF(AND('Mapa final'!$I$17="Baja",'Mapa final'!$M$17="Catastrófico"),CONCATENATE("R",'Mapa final'!$A$17),"")</f>
        <v/>
      </c>
      <c r="AK30" s="276"/>
      <c r="AL30" s="276" t="str">
        <f>IF(AND('Mapa final'!$I$20="Baja",'Mapa final'!$M$20="Catastrófico"),CONCATENATE("R",'Mapa final'!$A$20),"")</f>
        <v/>
      </c>
      <c r="AM30" s="277"/>
      <c r="AN30" s="42"/>
      <c r="AO30" s="327" t="s">
        <v>211</v>
      </c>
      <c r="AP30" s="328"/>
      <c r="AQ30" s="328"/>
      <c r="AR30" s="328"/>
      <c r="AS30" s="328"/>
      <c r="AT30" s="329"/>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row>
    <row r="31" spans="1:80" x14ac:dyDescent="0.3">
      <c r="A31" s="42"/>
      <c r="B31" s="298"/>
      <c r="C31" s="298"/>
      <c r="D31" s="299"/>
      <c r="E31" s="291"/>
      <c r="F31" s="292"/>
      <c r="G31" s="292"/>
      <c r="H31" s="292"/>
      <c r="I31" s="292"/>
      <c r="J31" s="251"/>
      <c r="K31" s="252"/>
      <c r="L31" s="252"/>
      <c r="M31" s="252"/>
      <c r="N31" s="252"/>
      <c r="O31" s="253"/>
      <c r="P31" s="261"/>
      <c r="Q31" s="261"/>
      <c r="R31" s="261"/>
      <c r="S31" s="261"/>
      <c r="T31" s="261"/>
      <c r="U31" s="262"/>
      <c r="V31" s="260"/>
      <c r="W31" s="261"/>
      <c r="X31" s="261"/>
      <c r="Y31" s="261"/>
      <c r="Z31" s="261"/>
      <c r="AA31" s="262"/>
      <c r="AB31" s="278"/>
      <c r="AC31" s="279"/>
      <c r="AD31" s="279"/>
      <c r="AE31" s="279"/>
      <c r="AF31" s="279"/>
      <c r="AG31" s="280"/>
      <c r="AH31" s="269"/>
      <c r="AI31" s="270"/>
      <c r="AJ31" s="270"/>
      <c r="AK31" s="270"/>
      <c r="AL31" s="270"/>
      <c r="AM31" s="271"/>
      <c r="AN31" s="42"/>
      <c r="AO31" s="330"/>
      <c r="AP31" s="331"/>
      <c r="AQ31" s="331"/>
      <c r="AR31" s="331"/>
      <c r="AS31" s="331"/>
      <c r="AT31" s="33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row>
    <row r="32" spans="1:80" x14ac:dyDescent="0.3">
      <c r="A32" s="42"/>
      <c r="B32" s="298"/>
      <c r="C32" s="298"/>
      <c r="D32" s="299"/>
      <c r="E32" s="291"/>
      <c r="F32" s="292"/>
      <c r="G32" s="292"/>
      <c r="H32" s="292"/>
      <c r="I32" s="292"/>
      <c r="J32" s="251" t="str">
        <f>IF(AND('Mapa final'!$I$26="Baja",'Mapa final'!$M$26="Leve"),CONCATENATE("R",'Mapa final'!$A$26),"")</f>
        <v/>
      </c>
      <c r="K32" s="252"/>
      <c r="L32" s="252" t="e">
        <f>IF(AND('Mapa final'!#REF!="Baja",'Mapa final'!#REF!="Leve"),CONCATENATE("R",'Mapa final'!#REF!),"")</f>
        <v>#REF!</v>
      </c>
      <c r="M32" s="252"/>
      <c r="N32" s="252" t="e">
        <f>IF(AND('Mapa final'!#REF!="Baja",'Mapa final'!#REF!="Leve"),CONCATENATE("R",'Mapa final'!#REF!),"")</f>
        <v>#REF!</v>
      </c>
      <c r="O32" s="253"/>
      <c r="P32" s="261" t="str">
        <f>IF(AND('Mapa final'!$I$26="Baja",'Mapa final'!$M$26="Menor"),CONCATENATE("R",'Mapa final'!$A$26),"")</f>
        <v/>
      </c>
      <c r="Q32" s="261"/>
      <c r="R32" s="261" t="e">
        <f>IF(AND('Mapa final'!#REF!="Baja",'Mapa final'!#REF!="Menor"),CONCATENATE("R",'Mapa final'!#REF!),"")</f>
        <v>#REF!</v>
      </c>
      <c r="S32" s="261"/>
      <c r="T32" s="261" t="e">
        <f>IF(AND('Mapa final'!#REF!="Baja",'Mapa final'!#REF!="Menor"),CONCATENATE("R",'Mapa final'!#REF!),"")</f>
        <v>#REF!</v>
      </c>
      <c r="U32" s="262"/>
      <c r="V32" s="260" t="str">
        <f>IF(AND('Mapa final'!$I$26="Baja",'Mapa final'!$M$26="Moderado"),CONCATENATE("R",'Mapa final'!$A$26),"")</f>
        <v/>
      </c>
      <c r="W32" s="261"/>
      <c r="X32" s="261" t="e">
        <f>IF(AND('Mapa final'!#REF!="Baja",'Mapa final'!#REF!="Moderado"),CONCATENATE("R",'Mapa final'!#REF!),"")</f>
        <v>#REF!</v>
      </c>
      <c r="Y32" s="261"/>
      <c r="Z32" s="261" t="e">
        <f>IF(AND('Mapa final'!#REF!="Baja",'Mapa final'!#REF!="Moderado"),CONCATENATE("R",'Mapa final'!#REF!),"")</f>
        <v>#REF!</v>
      </c>
      <c r="AA32" s="262"/>
      <c r="AB32" s="278" t="str">
        <f>IF(AND('Mapa final'!$I$26="Baja",'Mapa final'!$M$26="Mayor"),CONCATENATE("R",'Mapa final'!$A$26),"")</f>
        <v/>
      </c>
      <c r="AC32" s="279"/>
      <c r="AD32" s="279" t="e">
        <f>IF(AND('Mapa final'!#REF!="Baja",'Mapa final'!#REF!="Mayor"),CONCATENATE("R",'Mapa final'!#REF!),"")</f>
        <v>#REF!</v>
      </c>
      <c r="AE32" s="279"/>
      <c r="AF32" s="279" t="e">
        <f>IF(AND('Mapa final'!#REF!="Baja",'Mapa final'!#REF!="Mayor"),CONCATENATE("R",'Mapa final'!#REF!),"")</f>
        <v>#REF!</v>
      </c>
      <c r="AG32" s="280"/>
      <c r="AH32" s="269" t="str">
        <f>IF(AND('Mapa final'!$I$26="Baja",'Mapa final'!$M$26="Catastrófico"),CONCATENATE("R",'Mapa final'!$A$26),"")</f>
        <v/>
      </c>
      <c r="AI32" s="270"/>
      <c r="AJ32" s="270" t="e">
        <f>IF(AND('Mapa final'!#REF!="Baja",'Mapa final'!#REF!="Catastrófico"),CONCATENATE("R",'Mapa final'!#REF!),"")</f>
        <v>#REF!</v>
      </c>
      <c r="AK32" s="270"/>
      <c r="AL32" s="270" t="e">
        <f>IF(AND('Mapa final'!#REF!="Baja",'Mapa final'!#REF!="Catastrófico"),CONCATENATE("R",'Mapa final'!#REF!),"")</f>
        <v>#REF!</v>
      </c>
      <c r="AM32" s="271"/>
      <c r="AN32" s="42"/>
      <c r="AO32" s="330"/>
      <c r="AP32" s="331"/>
      <c r="AQ32" s="331"/>
      <c r="AR32" s="331"/>
      <c r="AS32" s="331"/>
      <c r="AT32" s="33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row>
    <row r="33" spans="1:80" x14ac:dyDescent="0.3">
      <c r="A33" s="42"/>
      <c r="B33" s="298"/>
      <c r="C33" s="298"/>
      <c r="D33" s="299"/>
      <c r="E33" s="291"/>
      <c r="F33" s="292"/>
      <c r="G33" s="292"/>
      <c r="H33" s="292"/>
      <c r="I33" s="292"/>
      <c r="J33" s="251"/>
      <c r="K33" s="252"/>
      <c r="L33" s="252"/>
      <c r="M33" s="252"/>
      <c r="N33" s="252"/>
      <c r="O33" s="253"/>
      <c r="P33" s="261"/>
      <c r="Q33" s="261"/>
      <c r="R33" s="261"/>
      <c r="S33" s="261"/>
      <c r="T33" s="261"/>
      <c r="U33" s="262"/>
      <c r="V33" s="260"/>
      <c r="W33" s="261"/>
      <c r="X33" s="261"/>
      <c r="Y33" s="261"/>
      <c r="Z33" s="261"/>
      <c r="AA33" s="262"/>
      <c r="AB33" s="278"/>
      <c r="AC33" s="279"/>
      <c r="AD33" s="279"/>
      <c r="AE33" s="279"/>
      <c r="AF33" s="279"/>
      <c r="AG33" s="280"/>
      <c r="AH33" s="269"/>
      <c r="AI33" s="270"/>
      <c r="AJ33" s="270"/>
      <c r="AK33" s="270"/>
      <c r="AL33" s="270"/>
      <c r="AM33" s="271"/>
      <c r="AN33" s="42"/>
      <c r="AO33" s="330"/>
      <c r="AP33" s="331"/>
      <c r="AQ33" s="331"/>
      <c r="AR33" s="331"/>
      <c r="AS33" s="331"/>
      <c r="AT33" s="33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row>
    <row r="34" spans="1:80" x14ac:dyDescent="0.3">
      <c r="A34" s="42"/>
      <c r="B34" s="298"/>
      <c r="C34" s="298"/>
      <c r="D34" s="299"/>
      <c r="E34" s="291"/>
      <c r="F34" s="292"/>
      <c r="G34" s="292"/>
      <c r="H34" s="292"/>
      <c r="I34" s="292"/>
      <c r="J34" s="251" t="e">
        <f>IF(AND('Mapa final'!#REF!="Baja",'Mapa final'!#REF!="Leve"),CONCATENATE("R",'Mapa final'!#REF!),"")</f>
        <v>#REF!</v>
      </c>
      <c r="K34" s="252"/>
      <c r="L34" s="252" t="e">
        <f>IF(AND('Mapa final'!#REF!="Baja",'Mapa final'!#REF!="Leve"),CONCATENATE("R",'Mapa final'!#REF!),"")</f>
        <v>#REF!</v>
      </c>
      <c r="M34" s="252"/>
      <c r="N34" s="252" t="e">
        <f>IF(AND('Mapa final'!#REF!="Baja",'Mapa final'!#REF!="Leve"),CONCATENATE("R",'Mapa final'!#REF!),"")</f>
        <v>#REF!</v>
      </c>
      <c r="O34" s="253"/>
      <c r="P34" s="261" t="e">
        <f>IF(AND('Mapa final'!#REF!="Baja",'Mapa final'!#REF!="Menor"),CONCATENATE("R",'Mapa final'!#REF!),"")</f>
        <v>#REF!</v>
      </c>
      <c r="Q34" s="261"/>
      <c r="R34" s="261" t="e">
        <f>IF(AND('Mapa final'!#REF!="Baja",'Mapa final'!#REF!="Menor"),CONCATENATE("R",'Mapa final'!#REF!),"")</f>
        <v>#REF!</v>
      </c>
      <c r="S34" s="261"/>
      <c r="T34" s="261" t="e">
        <f>IF(AND('Mapa final'!#REF!="Baja",'Mapa final'!#REF!="Menor"),CONCATENATE("R",'Mapa final'!#REF!),"")</f>
        <v>#REF!</v>
      </c>
      <c r="U34" s="262"/>
      <c r="V34" s="260" t="e">
        <f>IF(AND('Mapa final'!#REF!="Baja",'Mapa final'!#REF!="Moderado"),CONCATENATE("R",'Mapa final'!#REF!),"")</f>
        <v>#REF!</v>
      </c>
      <c r="W34" s="261"/>
      <c r="X34" s="261" t="e">
        <f>IF(AND('Mapa final'!#REF!="Baja",'Mapa final'!#REF!="Moderado"),CONCATENATE("R",'Mapa final'!#REF!),"")</f>
        <v>#REF!</v>
      </c>
      <c r="Y34" s="261"/>
      <c r="Z34" s="261" t="e">
        <f>IF(AND('Mapa final'!#REF!="Baja",'Mapa final'!#REF!="Moderado"),CONCATENATE("R",'Mapa final'!#REF!),"")</f>
        <v>#REF!</v>
      </c>
      <c r="AA34" s="262"/>
      <c r="AB34" s="278" t="e">
        <f>IF(AND('Mapa final'!#REF!="Baja",'Mapa final'!#REF!="Mayor"),CONCATENATE("R",'Mapa final'!#REF!),"")</f>
        <v>#REF!</v>
      </c>
      <c r="AC34" s="279"/>
      <c r="AD34" s="279" t="e">
        <f>IF(AND('Mapa final'!#REF!="Baja",'Mapa final'!#REF!="Mayor"),CONCATENATE("R",'Mapa final'!#REF!),"")</f>
        <v>#REF!</v>
      </c>
      <c r="AE34" s="279"/>
      <c r="AF34" s="279" t="e">
        <f>IF(AND('Mapa final'!#REF!="Baja",'Mapa final'!#REF!="Mayor"),CONCATENATE("R",'Mapa final'!#REF!),"")</f>
        <v>#REF!</v>
      </c>
      <c r="AG34" s="280"/>
      <c r="AH34" s="269" t="e">
        <f>IF(AND('Mapa final'!#REF!="Baja",'Mapa final'!#REF!="Catastrófico"),CONCATENATE("R",'Mapa final'!#REF!),"")</f>
        <v>#REF!</v>
      </c>
      <c r="AI34" s="270"/>
      <c r="AJ34" s="270" t="e">
        <f>IF(AND('Mapa final'!#REF!="Baja",'Mapa final'!#REF!="Catastrófico"),CONCATENATE("R",'Mapa final'!#REF!),"")</f>
        <v>#REF!</v>
      </c>
      <c r="AK34" s="270"/>
      <c r="AL34" s="270" t="e">
        <f>IF(AND('Mapa final'!#REF!="Baja",'Mapa final'!#REF!="Catastrófico"),CONCATENATE("R",'Mapa final'!#REF!),"")</f>
        <v>#REF!</v>
      </c>
      <c r="AM34" s="271"/>
      <c r="AN34" s="42"/>
      <c r="AO34" s="330"/>
      <c r="AP34" s="331"/>
      <c r="AQ34" s="331"/>
      <c r="AR34" s="331"/>
      <c r="AS34" s="331"/>
      <c r="AT34" s="33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row>
    <row r="35" spans="1:80" x14ac:dyDescent="0.3">
      <c r="A35" s="42"/>
      <c r="B35" s="298"/>
      <c r="C35" s="298"/>
      <c r="D35" s="299"/>
      <c r="E35" s="291"/>
      <c r="F35" s="292"/>
      <c r="G35" s="292"/>
      <c r="H35" s="292"/>
      <c r="I35" s="292"/>
      <c r="J35" s="251"/>
      <c r="K35" s="252"/>
      <c r="L35" s="252"/>
      <c r="M35" s="252"/>
      <c r="N35" s="252"/>
      <c r="O35" s="253"/>
      <c r="P35" s="261"/>
      <c r="Q35" s="261"/>
      <c r="R35" s="261"/>
      <c r="S35" s="261"/>
      <c r="T35" s="261"/>
      <c r="U35" s="262"/>
      <c r="V35" s="260"/>
      <c r="W35" s="261"/>
      <c r="X35" s="261"/>
      <c r="Y35" s="261"/>
      <c r="Z35" s="261"/>
      <c r="AA35" s="262"/>
      <c r="AB35" s="278"/>
      <c r="AC35" s="279"/>
      <c r="AD35" s="279"/>
      <c r="AE35" s="279"/>
      <c r="AF35" s="279"/>
      <c r="AG35" s="280"/>
      <c r="AH35" s="269"/>
      <c r="AI35" s="270"/>
      <c r="AJ35" s="270"/>
      <c r="AK35" s="270"/>
      <c r="AL35" s="270"/>
      <c r="AM35" s="271"/>
      <c r="AN35" s="42"/>
      <c r="AO35" s="330"/>
      <c r="AP35" s="331"/>
      <c r="AQ35" s="331"/>
      <c r="AR35" s="331"/>
      <c r="AS35" s="331"/>
      <c r="AT35" s="33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row>
    <row r="36" spans="1:80" x14ac:dyDescent="0.3">
      <c r="A36" s="42"/>
      <c r="B36" s="298"/>
      <c r="C36" s="298"/>
      <c r="D36" s="299"/>
      <c r="E36" s="291"/>
      <c r="F36" s="292"/>
      <c r="G36" s="292"/>
      <c r="H36" s="292"/>
      <c r="I36" s="292"/>
      <c r="J36" s="251" t="e">
        <f>IF(AND('Mapa final'!#REF!="Baja",'Mapa final'!#REF!="Leve"),CONCATENATE("R",'Mapa final'!#REF!),"")</f>
        <v>#REF!</v>
      </c>
      <c r="K36" s="252"/>
      <c r="L36" s="252" t="e">
        <f>IF(AND('Mapa final'!#REF!="Baja",'Mapa final'!#REF!="Leve"),CONCATENATE("R",'Mapa final'!#REF!),"")</f>
        <v>#REF!</v>
      </c>
      <c r="M36" s="252"/>
      <c r="N36" s="252" t="str">
        <f>IF(AND('Mapa final'!$I$31="Baja",'Mapa final'!$M$31="Leve"),CONCATENATE("R",'Mapa final'!$A$31),"")</f>
        <v/>
      </c>
      <c r="O36" s="253"/>
      <c r="P36" s="261" t="e">
        <f>IF(AND('Mapa final'!#REF!="Baja",'Mapa final'!#REF!="Menor"),CONCATENATE("R",'Mapa final'!#REF!),"")</f>
        <v>#REF!</v>
      </c>
      <c r="Q36" s="261"/>
      <c r="R36" s="261" t="e">
        <f>IF(AND('Mapa final'!#REF!="Baja",'Mapa final'!#REF!="Menor"),CONCATENATE("R",'Mapa final'!#REF!),"")</f>
        <v>#REF!</v>
      </c>
      <c r="S36" s="261"/>
      <c r="T36" s="261" t="str">
        <f>IF(AND('Mapa final'!$I$31="Baja",'Mapa final'!$M$31="Menor"),CONCATENATE("R",'Mapa final'!$A$31),"")</f>
        <v/>
      </c>
      <c r="U36" s="262"/>
      <c r="V36" s="260" t="e">
        <f>IF(AND('Mapa final'!#REF!="Baja",'Mapa final'!#REF!="Moderado"),CONCATENATE("R",'Mapa final'!#REF!),"")</f>
        <v>#REF!</v>
      </c>
      <c r="W36" s="261"/>
      <c r="X36" s="261" t="e">
        <f>IF(AND('Mapa final'!#REF!="Baja",'Mapa final'!#REF!="Moderado"),CONCATENATE("R",'Mapa final'!#REF!),"")</f>
        <v>#REF!</v>
      </c>
      <c r="Y36" s="261"/>
      <c r="Z36" s="261" t="str">
        <f>IF(AND('Mapa final'!$I$31="Baja",'Mapa final'!$M$31="Moderado"),CONCATENATE("R",'Mapa final'!$A$31),"")</f>
        <v/>
      </c>
      <c r="AA36" s="262"/>
      <c r="AB36" s="278" t="e">
        <f>IF(AND('Mapa final'!#REF!="Baja",'Mapa final'!#REF!="Mayor"),CONCATENATE("R",'Mapa final'!#REF!),"")</f>
        <v>#REF!</v>
      </c>
      <c r="AC36" s="279"/>
      <c r="AD36" s="279" t="e">
        <f>IF(AND('Mapa final'!#REF!="Baja",'Mapa final'!#REF!="Mayor"),CONCATENATE("R",'Mapa final'!#REF!),"")</f>
        <v>#REF!</v>
      </c>
      <c r="AE36" s="279"/>
      <c r="AF36" s="279" t="str">
        <f>IF(AND('Mapa final'!$I$31="Baja",'Mapa final'!$M$31="Mayor"),CONCATENATE("R",'Mapa final'!$A$31),"")</f>
        <v/>
      </c>
      <c r="AG36" s="280"/>
      <c r="AH36" s="269" t="e">
        <f>IF(AND('Mapa final'!#REF!="Baja",'Mapa final'!#REF!="Catastrófico"),CONCATENATE("R",'Mapa final'!#REF!),"")</f>
        <v>#REF!</v>
      </c>
      <c r="AI36" s="270"/>
      <c r="AJ36" s="270" t="e">
        <f>IF(AND('Mapa final'!#REF!="Baja",'Mapa final'!#REF!="Catastrófico"),CONCATENATE("R",'Mapa final'!#REF!),"")</f>
        <v>#REF!</v>
      </c>
      <c r="AK36" s="270"/>
      <c r="AL36" s="270" t="str">
        <f>IF(AND('Mapa final'!$I$31="Baja",'Mapa final'!$M$31="Catastrófico"),CONCATENATE("R",'Mapa final'!$A$31),"")</f>
        <v/>
      </c>
      <c r="AM36" s="271"/>
      <c r="AN36" s="42"/>
      <c r="AO36" s="330"/>
      <c r="AP36" s="331"/>
      <c r="AQ36" s="331"/>
      <c r="AR36" s="331"/>
      <c r="AS36" s="331"/>
      <c r="AT36" s="33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row>
    <row r="37" spans="1:80" ht="15" thickBot="1" x14ac:dyDescent="0.35">
      <c r="A37" s="42"/>
      <c r="B37" s="298"/>
      <c r="C37" s="298"/>
      <c r="D37" s="299"/>
      <c r="E37" s="294"/>
      <c r="F37" s="295"/>
      <c r="G37" s="295"/>
      <c r="H37" s="295"/>
      <c r="I37" s="295"/>
      <c r="J37" s="254"/>
      <c r="K37" s="255"/>
      <c r="L37" s="255"/>
      <c r="M37" s="255"/>
      <c r="N37" s="255"/>
      <c r="O37" s="256"/>
      <c r="P37" s="264"/>
      <c r="Q37" s="264"/>
      <c r="R37" s="264"/>
      <c r="S37" s="264"/>
      <c r="T37" s="264"/>
      <c r="U37" s="265"/>
      <c r="V37" s="263"/>
      <c r="W37" s="264"/>
      <c r="X37" s="264"/>
      <c r="Y37" s="264"/>
      <c r="Z37" s="264"/>
      <c r="AA37" s="265"/>
      <c r="AB37" s="281"/>
      <c r="AC37" s="282"/>
      <c r="AD37" s="282"/>
      <c r="AE37" s="282"/>
      <c r="AF37" s="282"/>
      <c r="AG37" s="283"/>
      <c r="AH37" s="272"/>
      <c r="AI37" s="273"/>
      <c r="AJ37" s="273"/>
      <c r="AK37" s="273"/>
      <c r="AL37" s="273"/>
      <c r="AM37" s="274"/>
      <c r="AN37" s="42"/>
      <c r="AO37" s="333"/>
      <c r="AP37" s="334"/>
      <c r="AQ37" s="334"/>
      <c r="AR37" s="334"/>
      <c r="AS37" s="334"/>
      <c r="AT37" s="335"/>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row>
    <row r="38" spans="1:80" x14ac:dyDescent="0.3">
      <c r="A38" s="42"/>
      <c r="B38" s="298"/>
      <c r="C38" s="298"/>
      <c r="D38" s="299"/>
      <c r="E38" s="288" t="s">
        <v>212</v>
      </c>
      <c r="F38" s="289"/>
      <c r="G38" s="289"/>
      <c r="H38" s="289"/>
      <c r="I38" s="290"/>
      <c r="J38" s="257" t="str">
        <f>IF(AND('Mapa final'!$I$11="Muy Baja",'Mapa final'!$M$11="Leve"),CONCATENATE("R",'Mapa final'!$A$11),"")</f>
        <v/>
      </c>
      <c r="K38" s="258"/>
      <c r="L38" s="258" t="str">
        <f>IF(AND('Mapa final'!$I$17="Muy Baja",'Mapa final'!$M$17="Leve"),CONCATENATE("R",'Mapa final'!$A$17),"")</f>
        <v/>
      </c>
      <c r="M38" s="258"/>
      <c r="N38" s="258" t="str">
        <f>IF(AND('Mapa final'!$I$20="Muy Baja",'Mapa final'!$M$20="Leve"),CONCATENATE("R",'Mapa final'!$A$20),"")</f>
        <v/>
      </c>
      <c r="O38" s="259"/>
      <c r="P38" s="257" t="str">
        <f>IF(AND('Mapa final'!$I$11="Muy Baja",'Mapa final'!$M$11="Menor"),CONCATENATE("R",'Mapa final'!$A$11),"")</f>
        <v>R1</v>
      </c>
      <c r="Q38" s="258"/>
      <c r="R38" s="258" t="str">
        <f>IF(AND('Mapa final'!$I$17="Muy Baja",'Mapa final'!$M$17="Menor"),CONCATENATE("R",'Mapa final'!$A$17),"")</f>
        <v/>
      </c>
      <c r="S38" s="258"/>
      <c r="T38" s="258" t="str">
        <f>IF(AND('Mapa final'!$I$20="Muy Baja",'Mapa final'!$M$20="Menor"),CONCATENATE("R",'Mapa final'!$A$20),"")</f>
        <v/>
      </c>
      <c r="U38" s="259"/>
      <c r="V38" s="266" t="str">
        <f>IF(AND('Mapa final'!$I$11="Muy Baja",'Mapa final'!$M$11="Moderado"),CONCATENATE("R",'Mapa final'!$A$11),"")</f>
        <v/>
      </c>
      <c r="W38" s="267"/>
      <c r="X38" s="267" t="str">
        <f>IF(AND('Mapa final'!$I$17="Muy Baja",'Mapa final'!$M$17="Moderado"),CONCATENATE("R",'Mapa final'!$A$17),"")</f>
        <v/>
      </c>
      <c r="Y38" s="267"/>
      <c r="Z38" s="267" t="str">
        <f>IF(AND('Mapa final'!$I$20="Muy Baja",'Mapa final'!$M$20="Moderado"),CONCATENATE("R",'Mapa final'!$A$20),"")</f>
        <v/>
      </c>
      <c r="AA38" s="268"/>
      <c r="AB38" s="284" t="str">
        <f>IF(AND('Mapa final'!$I$11="Muy Baja",'Mapa final'!$M$11="Mayor"),CONCATENATE("R",'Mapa final'!$A$11),"")</f>
        <v/>
      </c>
      <c r="AC38" s="285"/>
      <c r="AD38" s="285" t="str">
        <f>IF(AND('Mapa final'!$I$17="Muy Baja",'Mapa final'!$M$17="Mayor"),CONCATENATE("R",'Mapa final'!$A$17),"")</f>
        <v/>
      </c>
      <c r="AE38" s="285"/>
      <c r="AF38" s="285" t="str">
        <f>IF(AND('Mapa final'!$I$20="Muy Baja",'Mapa final'!$M$20="Mayor"),CONCATENATE("R",'Mapa final'!$A$20),"")</f>
        <v/>
      </c>
      <c r="AG38" s="286"/>
      <c r="AH38" s="275" t="str">
        <f>IF(AND('Mapa final'!$I$11="Muy Baja",'Mapa final'!$M$11="Catastrófico"),CONCATENATE("R",'Mapa final'!$A$11),"")</f>
        <v/>
      </c>
      <c r="AI38" s="276"/>
      <c r="AJ38" s="276" t="str">
        <f>IF(AND('Mapa final'!$I$17="Muy Baja",'Mapa final'!$M$17="Catastrófico"),CONCATENATE("R",'Mapa final'!$A$17),"")</f>
        <v/>
      </c>
      <c r="AK38" s="276"/>
      <c r="AL38" s="276" t="str">
        <f>IF(AND('Mapa final'!$I$20="Muy Baja",'Mapa final'!$M$20="Catastrófico"),CONCATENATE("R",'Mapa final'!$A$20),"")</f>
        <v/>
      </c>
      <c r="AM38" s="277"/>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row>
    <row r="39" spans="1:80" x14ac:dyDescent="0.3">
      <c r="A39" s="42"/>
      <c r="B39" s="298"/>
      <c r="C39" s="298"/>
      <c r="D39" s="299"/>
      <c r="E39" s="291"/>
      <c r="F39" s="292"/>
      <c r="G39" s="292"/>
      <c r="H39" s="292"/>
      <c r="I39" s="293"/>
      <c r="J39" s="251"/>
      <c r="K39" s="252"/>
      <c r="L39" s="252"/>
      <c r="M39" s="252"/>
      <c r="N39" s="252"/>
      <c r="O39" s="253"/>
      <c r="P39" s="251"/>
      <c r="Q39" s="252"/>
      <c r="R39" s="252"/>
      <c r="S39" s="252"/>
      <c r="T39" s="252"/>
      <c r="U39" s="253"/>
      <c r="V39" s="260"/>
      <c r="W39" s="261"/>
      <c r="X39" s="261"/>
      <c r="Y39" s="261"/>
      <c r="Z39" s="261"/>
      <c r="AA39" s="262"/>
      <c r="AB39" s="278"/>
      <c r="AC39" s="279"/>
      <c r="AD39" s="279"/>
      <c r="AE39" s="279"/>
      <c r="AF39" s="279"/>
      <c r="AG39" s="280"/>
      <c r="AH39" s="269"/>
      <c r="AI39" s="270"/>
      <c r="AJ39" s="270"/>
      <c r="AK39" s="270"/>
      <c r="AL39" s="270"/>
      <c r="AM39" s="271"/>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row>
    <row r="40" spans="1:80" x14ac:dyDescent="0.3">
      <c r="A40" s="42"/>
      <c r="B40" s="298"/>
      <c r="C40" s="298"/>
      <c r="D40" s="299"/>
      <c r="E40" s="291"/>
      <c r="F40" s="292"/>
      <c r="G40" s="292"/>
      <c r="H40" s="292"/>
      <c r="I40" s="293"/>
      <c r="J40" s="251" t="str">
        <f>IF(AND('Mapa final'!$I$26="Muy Baja",'Mapa final'!$M$26="Leve"),CONCATENATE("R",'Mapa final'!$A$26),"")</f>
        <v/>
      </c>
      <c r="K40" s="252"/>
      <c r="L40" s="252" t="e">
        <f>IF(AND('Mapa final'!#REF!="Muy Baja",'Mapa final'!#REF!="Leve"),CONCATENATE("R",'Mapa final'!#REF!),"")</f>
        <v>#REF!</v>
      </c>
      <c r="M40" s="252"/>
      <c r="N40" s="252" t="e">
        <f>IF(AND('Mapa final'!#REF!="Muy Baja",'Mapa final'!#REF!="Leve"),CONCATENATE("R",'Mapa final'!#REF!),"")</f>
        <v>#REF!</v>
      </c>
      <c r="O40" s="253"/>
      <c r="P40" s="251" t="str">
        <f>IF(AND('Mapa final'!$I$26="Muy Baja",'Mapa final'!$M$26="Menor"),CONCATENATE("R",'Mapa final'!$A$26),"")</f>
        <v/>
      </c>
      <c r="Q40" s="252"/>
      <c r="R40" s="252" t="e">
        <f>IF(AND('Mapa final'!#REF!="Muy Baja",'Mapa final'!#REF!="Menor"),CONCATENATE("R",'Mapa final'!#REF!),"")</f>
        <v>#REF!</v>
      </c>
      <c r="S40" s="252"/>
      <c r="T40" s="252" t="e">
        <f>IF(AND('Mapa final'!#REF!="Muy Baja",'Mapa final'!#REF!="Menor"),CONCATENATE("R",'Mapa final'!#REF!),"")</f>
        <v>#REF!</v>
      </c>
      <c r="U40" s="253"/>
      <c r="V40" s="260" t="str">
        <f>IF(AND('Mapa final'!$I$26="Muy Baja",'Mapa final'!$M$26="Moderado"),CONCATENATE("R",'Mapa final'!$A$26),"")</f>
        <v/>
      </c>
      <c r="W40" s="261"/>
      <c r="X40" s="261" t="e">
        <f>IF(AND('Mapa final'!#REF!="Muy Baja",'Mapa final'!#REF!="Moderado"),CONCATENATE("R",'Mapa final'!#REF!),"")</f>
        <v>#REF!</v>
      </c>
      <c r="Y40" s="261"/>
      <c r="Z40" s="261" t="e">
        <f>IF(AND('Mapa final'!#REF!="Muy Baja",'Mapa final'!#REF!="Moderado"),CONCATENATE("R",'Mapa final'!#REF!),"")</f>
        <v>#REF!</v>
      </c>
      <c r="AA40" s="262"/>
      <c r="AB40" s="278" t="str">
        <f>IF(AND('Mapa final'!$I$26="Muy Baja",'Mapa final'!$M$26="Mayor"),CONCATENATE("R",'Mapa final'!$A$26),"")</f>
        <v/>
      </c>
      <c r="AC40" s="279"/>
      <c r="AD40" s="279" t="e">
        <f>IF(AND('Mapa final'!#REF!="Muy Baja",'Mapa final'!#REF!="Mayor"),CONCATENATE("R",'Mapa final'!#REF!),"")</f>
        <v>#REF!</v>
      </c>
      <c r="AE40" s="279"/>
      <c r="AF40" s="279" t="e">
        <f>IF(AND('Mapa final'!#REF!="Muy Baja",'Mapa final'!#REF!="Mayor"),CONCATENATE("R",'Mapa final'!#REF!),"")</f>
        <v>#REF!</v>
      </c>
      <c r="AG40" s="280"/>
      <c r="AH40" s="269" t="str">
        <f>IF(AND('Mapa final'!$I$26="Muy Baja",'Mapa final'!$M$26="Catastrófico"),CONCATENATE("R",'Mapa final'!$A$26),"")</f>
        <v/>
      </c>
      <c r="AI40" s="270"/>
      <c r="AJ40" s="270" t="e">
        <f>IF(AND('Mapa final'!#REF!="Muy Baja",'Mapa final'!#REF!="Catastrófico"),CONCATENATE("R",'Mapa final'!#REF!),"")</f>
        <v>#REF!</v>
      </c>
      <c r="AK40" s="270"/>
      <c r="AL40" s="270" t="e">
        <f>IF(AND('Mapa final'!#REF!="Muy Baja",'Mapa final'!#REF!="Catastrófico"),CONCATENATE("R",'Mapa final'!#REF!),"")</f>
        <v>#REF!</v>
      </c>
      <c r="AM40" s="271"/>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row>
    <row r="41" spans="1:80" x14ac:dyDescent="0.3">
      <c r="A41" s="42"/>
      <c r="B41" s="298"/>
      <c r="C41" s="298"/>
      <c r="D41" s="299"/>
      <c r="E41" s="291"/>
      <c r="F41" s="292"/>
      <c r="G41" s="292"/>
      <c r="H41" s="292"/>
      <c r="I41" s="293"/>
      <c r="J41" s="251"/>
      <c r="K41" s="252"/>
      <c r="L41" s="252"/>
      <c r="M41" s="252"/>
      <c r="N41" s="252"/>
      <c r="O41" s="253"/>
      <c r="P41" s="251"/>
      <c r="Q41" s="252"/>
      <c r="R41" s="252"/>
      <c r="S41" s="252"/>
      <c r="T41" s="252"/>
      <c r="U41" s="253"/>
      <c r="V41" s="260"/>
      <c r="W41" s="261"/>
      <c r="X41" s="261"/>
      <c r="Y41" s="261"/>
      <c r="Z41" s="261"/>
      <c r="AA41" s="262"/>
      <c r="AB41" s="278"/>
      <c r="AC41" s="279"/>
      <c r="AD41" s="279"/>
      <c r="AE41" s="279"/>
      <c r="AF41" s="279"/>
      <c r="AG41" s="280"/>
      <c r="AH41" s="269"/>
      <c r="AI41" s="270"/>
      <c r="AJ41" s="270"/>
      <c r="AK41" s="270"/>
      <c r="AL41" s="270"/>
      <c r="AM41" s="271"/>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row>
    <row r="42" spans="1:80" x14ac:dyDescent="0.3">
      <c r="A42" s="42"/>
      <c r="B42" s="298"/>
      <c r="C42" s="298"/>
      <c r="D42" s="299"/>
      <c r="E42" s="291"/>
      <c r="F42" s="292"/>
      <c r="G42" s="292"/>
      <c r="H42" s="292"/>
      <c r="I42" s="293"/>
      <c r="J42" s="251" t="e">
        <f>IF(AND('Mapa final'!#REF!="Muy Baja",'Mapa final'!#REF!="Leve"),CONCATENATE("R",'Mapa final'!#REF!),"")</f>
        <v>#REF!</v>
      </c>
      <c r="K42" s="252"/>
      <c r="L42" s="252" t="e">
        <f>IF(AND('Mapa final'!#REF!="Muy Baja",'Mapa final'!#REF!="Leve"),CONCATENATE("R",'Mapa final'!#REF!),"")</f>
        <v>#REF!</v>
      </c>
      <c r="M42" s="252"/>
      <c r="N42" s="252" t="e">
        <f>IF(AND('Mapa final'!#REF!="Muy Baja",'Mapa final'!#REF!="Leve"),CONCATENATE("R",'Mapa final'!#REF!),"")</f>
        <v>#REF!</v>
      </c>
      <c r="O42" s="253"/>
      <c r="P42" s="251" t="e">
        <f>IF(AND('Mapa final'!#REF!="Muy Baja",'Mapa final'!#REF!="Menor"),CONCATENATE("R",'Mapa final'!#REF!),"")</f>
        <v>#REF!</v>
      </c>
      <c r="Q42" s="252"/>
      <c r="R42" s="252" t="e">
        <f>IF(AND('Mapa final'!#REF!="Muy Baja",'Mapa final'!#REF!="Menor"),CONCATENATE("R",'Mapa final'!#REF!),"")</f>
        <v>#REF!</v>
      </c>
      <c r="S42" s="252"/>
      <c r="T42" s="252" t="e">
        <f>IF(AND('Mapa final'!#REF!="Muy Baja",'Mapa final'!#REF!="Menor"),CONCATENATE("R",'Mapa final'!#REF!),"")</f>
        <v>#REF!</v>
      </c>
      <c r="U42" s="253"/>
      <c r="V42" s="260" t="e">
        <f>IF(AND('Mapa final'!#REF!="Muy Baja",'Mapa final'!#REF!="Moderado"),CONCATENATE("R",'Mapa final'!#REF!),"")</f>
        <v>#REF!</v>
      </c>
      <c r="W42" s="261"/>
      <c r="X42" s="261" t="e">
        <f>IF(AND('Mapa final'!#REF!="Muy Baja",'Mapa final'!#REF!="Moderado"),CONCATENATE("R",'Mapa final'!#REF!),"")</f>
        <v>#REF!</v>
      </c>
      <c r="Y42" s="261"/>
      <c r="Z42" s="261" t="e">
        <f>IF(AND('Mapa final'!#REF!="Muy Baja",'Mapa final'!#REF!="Moderado"),CONCATENATE("R",'Mapa final'!#REF!),"")</f>
        <v>#REF!</v>
      </c>
      <c r="AA42" s="262"/>
      <c r="AB42" s="278" t="e">
        <f>IF(AND('Mapa final'!#REF!="Muy Baja",'Mapa final'!#REF!="Mayor"),CONCATENATE("R",'Mapa final'!#REF!),"")</f>
        <v>#REF!</v>
      </c>
      <c r="AC42" s="279"/>
      <c r="AD42" s="279" t="e">
        <f>IF(AND('Mapa final'!#REF!="Muy Baja",'Mapa final'!#REF!="Mayor"),CONCATENATE("R",'Mapa final'!#REF!),"")</f>
        <v>#REF!</v>
      </c>
      <c r="AE42" s="279"/>
      <c r="AF42" s="279" t="e">
        <f>IF(AND('Mapa final'!#REF!="Muy Baja",'Mapa final'!#REF!="Mayor"),CONCATENATE("R",'Mapa final'!#REF!),"")</f>
        <v>#REF!</v>
      </c>
      <c r="AG42" s="280"/>
      <c r="AH42" s="269" t="e">
        <f>IF(AND('Mapa final'!#REF!="Muy Baja",'Mapa final'!#REF!="Catastrófico"),CONCATENATE("R",'Mapa final'!#REF!),"")</f>
        <v>#REF!</v>
      </c>
      <c r="AI42" s="270"/>
      <c r="AJ42" s="270" t="e">
        <f>IF(AND('Mapa final'!#REF!="Muy Baja",'Mapa final'!#REF!="Catastrófico"),CONCATENATE("R",'Mapa final'!#REF!),"")</f>
        <v>#REF!</v>
      </c>
      <c r="AK42" s="270"/>
      <c r="AL42" s="270" t="e">
        <f>IF(AND('Mapa final'!#REF!="Muy Baja",'Mapa final'!#REF!="Catastrófico"),CONCATENATE("R",'Mapa final'!#REF!),"")</f>
        <v>#REF!</v>
      </c>
      <c r="AM42" s="271"/>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row>
    <row r="43" spans="1:80" x14ac:dyDescent="0.3">
      <c r="A43" s="42"/>
      <c r="B43" s="298"/>
      <c r="C43" s="298"/>
      <c r="D43" s="299"/>
      <c r="E43" s="291"/>
      <c r="F43" s="292"/>
      <c r="G43" s="292"/>
      <c r="H43" s="292"/>
      <c r="I43" s="293"/>
      <c r="J43" s="251"/>
      <c r="K43" s="252"/>
      <c r="L43" s="252"/>
      <c r="M43" s="252"/>
      <c r="N43" s="252"/>
      <c r="O43" s="253"/>
      <c r="P43" s="251"/>
      <c r="Q43" s="252"/>
      <c r="R43" s="252"/>
      <c r="S43" s="252"/>
      <c r="T43" s="252"/>
      <c r="U43" s="253"/>
      <c r="V43" s="260"/>
      <c r="W43" s="261"/>
      <c r="X43" s="261"/>
      <c r="Y43" s="261"/>
      <c r="Z43" s="261"/>
      <c r="AA43" s="262"/>
      <c r="AB43" s="278"/>
      <c r="AC43" s="279"/>
      <c r="AD43" s="279"/>
      <c r="AE43" s="279"/>
      <c r="AF43" s="279"/>
      <c r="AG43" s="280"/>
      <c r="AH43" s="269"/>
      <c r="AI43" s="270"/>
      <c r="AJ43" s="270"/>
      <c r="AK43" s="270"/>
      <c r="AL43" s="270"/>
      <c r="AM43" s="271"/>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row>
    <row r="44" spans="1:80" x14ac:dyDescent="0.3">
      <c r="A44" s="42"/>
      <c r="B44" s="298"/>
      <c r="C44" s="298"/>
      <c r="D44" s="299"/>
      <c r="E44" s="291"/>
      <c r="F44" s="292"/>
      <c r="G44" s="292"/>
      <c r="H44" s="292"/>
      <c r="I44" s="293"/>
      <c r="J44" s="251" t="e">
        <f>IF(AND('Mapa final'!#REF!="Muy Baja",'Mapa final'!#REF!="Leve"),CONCATENATE("R",'Mapa final'!#REF!),"")</f>
        <v>#REF!</v>
      </c>
      <c r="K44" s="252"/>
      <c r="L44" s="252" t="e">
        <f>IF(AND('Mapa final'!#REF!="Muy Baja",'Mapa final'!#REF!="Leve"),CONCATENATE("R",'Mapa final'!#REF!),"")</f>
        <v>#REF!</v>
      </c>
      <c r="M44" s="252"/>
      <c r="N44" s="252" t="str">
        <f>IF(AND('Mapa final'!$I$31="Muy Baja",'Mapa final'!$M$31="Leve"),CONCATENATE("R",'Mapa final'!$A$31),"")</f>
        <v/>
      </c>
      <c r="O44" s="253"/>
      <c r="P44" s="251" t="e">
        <f>IF(AND('Mapa final'!#REF!="Muy Baja",'Mapa final'!#REF!="Menor"),CONCATENATE("R",'Mapa final'!#REF!),"")</f>
        <v>#REF!</v>
      </c>
      <c r="Q44" s="252"/>
      <c r="R44" s="252" t="e">
        <f>IF(AND('Mapa final'!#REF!="Muy Baja",'Mapa final'!#REF!="Menor"),CONCATENATE("R",'Mapa final'!#REF!),"")</f>
        <v>#REF!</v>
      </c>
      <c r="S44" s="252"/>
      <c r="T44" s="252" t="str">
        <f>IF(AND('Mapa final'!$I$31="Muy Baja",'Mapa final'!$M$31="Menor"),CONCATENATE("R",'Mapa final'!$A$31),"")</f>
        <v/>
      </c>
      <c r="U44" s="253"/>
      <c r="V44" s="260" t="e">
        <f>IF(AND('Mapa final'!#REF!="Muy Baja",'Mapa final'!#REF!="Moderado"),CONCATENATE("R",'Mapa final'!#REF!),"")</f>
        <v>#REF!</v>
      </c>
      <c r="W44" s="261"/>
      <c r="X44" s="261" t="e">
        <f>IF(AND('Mapa final'!#REF!="Muy Baja",'Mapa final'!#REF!="Moderado"),CONCATENATE("R",'Mapa final'!#REF!),"")</f>
        <v>#REF!</v>
      </c>
      <c r="Y44" s="261"/>
      <c r="Z44" s="261" t="str">
        <f>IF(AND('Mapa final'!$I$31="Muy Baja",'Mapa final'!$M$31="Moderado"),CONCATENATE("R",'Mapa final'!$A$31),"")</f>
        <v/>
      </c>
      <c r="AA44" s="262"/>
      <c r="AB44" s="278" t="e">
        <f>IF(AND('Mapa final'!#REF!="Muy Baja",'Mapa final'!#REF!="Mayor"),CONCATENATE("R",'Mapa final'!#REF!),"")</f>
        <v>#REF!</v>
      </c>
      <c r="AC44" s="279"/>
      <c r="AD44" s="279" t="e">
        <f>IF(AND('Mapa final'!#REF!="Muy Baja",'Mapa final'!#REF!="Mayor"),CONCATENATE("R",'Mapa final'!#REF!),"")</f>
        <v>#REF!</v>
      </c>
      <c r="AE44" s="279"/>
      <c r="AF44" s="279" t="str">
        <f>IF(AND('Mapa final'!$I$31="Muy Baja",'Mapa final'!$M$31="Mayor"),CONCATENATE("R",'Mapa final'!$A$31),"")</f>
        <v/>
      </c>
      <c r="AG44" s="280"/>
      <c r="AH44" s="269" t="e">
        <f>IF(AND('Mapa final'!#REF!="Muy Baja",'Mapa final'!#REF!="Catastrófico"),CONCATENATE("R",'Mapa final'!#REF!),"")</f>
        <v>#REF!</v>
      </c>
      <c r="AI44" s="270"/>
      <c r="AJ44" s="270" t="e">
        <f>IF(AND('Mapa final'!#REF!="Muy Baja",'Mapa final'!#REF!="Catastrófico"),CONCATENATE("R",'Mapa final'!#REF!),"")</f>
        <v>#REF!</v>
      </c>
      <c r="AK44" s="270"/>
      <c r="AL44" s="270" t="str">
        <f>IF(AND('Mapa final'!$I$31="Muy Baja",'Mapa final'!$M$31="Catastrófico"),CONCATENATE("R",'Mapa final'!$A$31),"")</f>
        <v/>
      </c>
      <c r="AM44" s="271"/>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row>
    <row r="45" spans="1:80" ht="15" thickBot="1" x14ac:dyDescent="0.35">
      <c r="A45" s="42"/>
      <c r="B45" s="298"/>
      <c r="C45" s="298"/>
      <c r="D45" s="299"/>
      <c r="E45" s="294"/>
      <c r="F45" s="295"/>
      <c r="G45" s="295"/>
      <c r="H45" s="295"/>
      <c r="I45" s="296"/>
      <c r="J45" s="254"/>
      <c r="K45" s="255"/>
      <c r="L45" s="255"/>
      <c r="M45" s="255"/>
      <c r="N45" s="255"/>
      <c r="O45" s="256"/>
      <c r="P45" s="254"/>
      <c r="Q45" s="255"/>
      <c r="R45" s="255"/>
      <c r="S45" s="255"/>
      <c r="T45" s="255"/>
      <c r="U45" s="256"/>
      <c r="V45" s="263"/>
      <c r="W45" s="264"/>
      <c r="X45" s="264"/>
      <c r="Y45" s="264"/>
      <c r="Z45" s="264"/>
      <c r="AA45" s="265"/>
      <c r="AB45" s="281"/>
      <c r="AC45" s="282"/>
      <c r="AD45" s="282"/>
      <c r="AE45" s="282"/>
      <c r="AF45" s="282"/>
      <c r="AG45" s="283"/>
      <c r="AH45" s="272"/>
      <c r="AI45" s="273"/>
      <c r="AJ45" s="273"/>
      <c r="AK45" s="273"/>
      <c r="AL45" s="273"/>
      <c r="AM45" s="274"/>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row>
    <row r="46" spans="1:80" x14ac:dyDescent="0.3">
      <c r="A46" s="42"/>
      <c r="B46" s="42"/>
      <c r="C46" s="42"/>
      <c r="D46" s="42"/>
      <c r="E46" s="42"/>
      <c r="F46" s="42"/>
      <c r="G46" s="42"/>
      <c r="H46" s="42"/>
      <c r="I46" s="42"/>
      <c r="J46" s="288" t="s">
        <v>213</v>
      </c>
      <c r="K46" s="289"/>
      <c r="L46" s="289"/>
      <c r="M46" s="289"/>
      <c r="N46" s="289"/>
      <c r="O46" s="290"/>
      <c r="P46" s="288" t="s">
        <v>214</v>
      </c>
      <c r="Q46" s="289"/>
      <c r="R46" s="289"/>
      <c r="S46" s="289"/>
      <c r="T46" s="289"/>
      <c r="U46" s="290"/>
      <c r="V46" s="288" t="s">
        <v>215</v>
      </c>
      <c r="W46" s="289"/>
      <c r="X46" s="289"/>
      <c r="Y46" s="289"/>
      <c r="Z46" s="289"/>
      <c r="AA46" s="290"/>
      <c r="AB46" s="288" t="s">
        <v>216</v>
      </c>
      <c r="AC46" s="297"/>
      <c r="AD46" s="289"/>
      <c r="AE46" s="289"/>
      <c r="AF46" s="289"/>
      <c r="AG46" s="290"/>
      <c r="AH46" s="288" t="s">
        <v>217</v>
      </c>
      <c r="AI46" s="289"/>
      <c r="AJ46" s="289"/>
      <c r="AK46" s="289"/>
      <c r="AL46" s="289"/>
      <c r="AM46" s="290"/>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row>
    <row r="47" spans="1:80" x14ac:dyDescent="0.3">
      <c r="A47" s="42"/>
      <c r="B47" s="42"/>
      <c r="C47" s="42"/>
      <c r="D47" s="42"/>
      <c r="E47" s="42"/>
      <c r="F47" s="42"/>
      <c r="G47" s="42"/>
      <c r="H47" s="42"/>
      <c r="I47" s="42"/>
      <c r="J47" s="291"/>
      <c r="K47" s="292"/>
      <c r="L47" s="292"/>
      <c r="M47" s="292"/>
      <c r="N47" s="292"/>
      <c r="O47" s="293"/>
      <c r="P47" s="291"/>
      <c r="Q47" s="292"/>
      <c r="R47" s="292"/>
      <c r="S47" s="292"/>
      <c r="T47" s="292"/>
      <c r="U47" s="293"/>
      <c r="V47" s="291"/>
      <c r="W47" s="292"/>
      <c r="X47" s="292"/>
      <c r="Y47" s="292"/>
      <c r="Z47" s="292"/>
      <c r="AA47" s="293"/>
      <c r="AB47" s="291"/>
      <c r="AC47" s="292"/>
      <c r="AD47" s="292"/>
      <c r="AE47" s="292"/>
      <c r="AF47" s="292"/>
      <c r="AG47" s="293"/>
      <c r="AH47" s="291"/>
      <c r="AI47" s="292"/>
      <c r="AJ47" s="292"/>
      <c r="AK47" s="292"/>
      <c r="AL47" s="292"/>
      <c r="AM47" s="293"/>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row>
    <row r="48" spans="1:80" x14ac:dyDescent="0.3">
      <c r="A48" s="42"/>
      <c r="B48" s="42"/>
      <c r="C48" s="42"/>
      <c r="D48" s="42"/>
      <c r="E48" s="42"/>
      <c r="F48" s="42"/>
      <c r="G48" s="42"/>
      <c r="H48" s="42"/>
      <c r="I48" s="42"/>
      <c r="J48" s="291"/>
      <c r="K48" s="292"/>
      <c r="L48" s="292"/>
      <c r="M48" s="292"/>
      <c r="N48" s="292"/>
      <c r="O48" s="293"/>
      <c r="P48" s="291"/>
      <c r="Q48" s="292"/>
      <c r="R48" s="292"/>
      <c r="S48" s="292"/>
      <c r="T48" s="292"/>
      <c r="U48" s="293"/>
      <c r="V48" s="291"/>
      <c r="W48" s="292"/>
      <c r="X48" s="292"/>
      <c r="Y48" s="292"/>
      <c r="Z48" s="292"/>
      <c r="AA48" s="293"/>
      <c r="AB48" s="291"/>
      <c r="AC48" s="292"/>
      <c r="AD48" s="292"/>
      <c r="AE48" s="292"/>
      <c r="AF48" s="292"/>
      <c r="AG48" s="293"/>
      <c r="AH48" s="291"/>
      <c r="AI48" s="292"/>
      <c r="AJ48" s="292"/>
      <c r="AK48" s="292"/>
      <c r="AL48" s="292"/>
      <c r="AM48" s="293"/>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row>
    <row r="49" spans="1:80" x14ac:dyDescent="0.3">
      <c r="A49" s="42"/>
      <c r="B49" s="42"/>
      <c r="C49" s="42"/>
      <c r="D49" s="42"/>
      <c r="E49" s="42"/>
      <c r="F49" s="42"/>
      <c r="G49" s="42"/>
      <c r="H49" s="42"/>
      <c r="I49" s="42"/>
      <c r="J49" s="291"/>
      <c r="K49" s="292"/>
      <c r="L49" s="292"/>
      <c r="M49" s="292"/>
      <c r="N49" s="292"/>
      <c r="O49" s="293"/>
      <c r="P49" s="291"/>
      <c r="Q49" s="292"/>
      <c r="R49" s="292"/>
      <c r="S49" s="292"/>
      <c r="T49" s="292"/>
      <c r="U49" s="293"/>
      <c r="V49" s="291"/>
      <c r="W49" s="292"/>
      <c r="X49" s="292"/>
      <c r="Y49" s="292"/>
      <c r="Z49" s="292"/>
      <c r="AA49" s="293"/>
      <c r="AB49" s="291"/>
      <c r="AC49" s="292"/>
      <c r="AD49" s="292"/>
      <c r="AE49" s="292"/>
      <c r="AF49" s="292"/>
      <c r="AG49" s="293"/>
      <c r="AH49" s="291"/>
      <c r="AI49" s="292"/>
      <c r="AJ49" s="292"/>
      <c r="AK49" s="292"/>
      <c r="AL49" s="292"/>
      <c r="AM49" s="293"/>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row>
    <row r="50" spans="1:80" x14ac:dyDescent="0.3">
      <c r="A50" s="42"/>
      <c r="B50" s="42"/>
      <c r="C50" s="42"/>
      <c r="D50" s="42"/>
      <c r="E50" s="42"/>
      <c r="F50" s="42"/>
      <c r="G50" s="42"/>
      <c r="H50" s="42"/>
      <c r="I50" s="42"/>
      <c r="J50" s="291"/>
      <c r="K50" s="292"/>
      <c r="L50" s="292"/>
      <c r="M50" s="292"/>
      <c r="N50" s="292"/>
      <c r="O50" s="293"/>
      <c r="P50" s="291"/>
      <c r="Q50" s="292"/>
      <c r="R50" s="292"/>
      <c r="S50" s="292"/>
      <c r="T50" s="292"/>
      <c r="U50" s="293"/>
      <c r="V50" s="291"/>
      <c r="W50" s="292"/>
      <c r="X50" s="292"/>
      <c r="Y50" s="292"/>
      <c r="Z50" s="292"/>
      <c r="AA50" s="293"/>
      <c r="AB50" s="291"/>
      <c r="AC50" s="292"/>
      <c r="AD50" s="292"/>
      <c r="AE50" s="292"/>
      <c r="AF50" s="292"/>
      <c r="AG50" s="293"/>
      <c r="AH50" s="291"/>
      <c r="AI50" s="292"/>
      <c r="AJ50" s="292"/>
      <c r="AK50" s="292"/>
      <c r="AL50" s="292"/>
      <c r="AM50" s="293"/>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row>
    <row r="51" spans="1:80" ht="15" thickBot="1" x14ac:dyDescent="0.35">
      <c r="A51" s="42"/>
      <c r="B51" s="42"/>
      <c r="C51" s="42"/>
      <c r="D51" s="42"/>
      <c r="E51" s="42"/>
      <c r="F51" s="42"/>
      <c r="G51" s="42"/>
      <c r="H51" s="42"/>
      <c r="I51" s="42"/>
      <c r="J51" s="294"/>
      <c r="K51" s="295"/>
      <c r="L51" s="295"/>
      <c r="M51" s="295"/>
      <c r="N51" s="295"/>
      <c r="O51" s="296"/>
      <c r="P51" s="294"/>
      <c r="Q51" s="295"/>
      <c r="R51" s="295"/>
      <c r="S51" s="295"/>
      <c r="T51" s="295"/>
      <c r="U51" s="296"/>
      <c r="V51" s="294"/>
      <c r="W51" s="295"/>
      <c r="X51" s="295"/>
      <c r="Y51" s="295"/>
      <c r="Z51" s="295"/>
      <c r="AA51" s="296"/>
      <c r="AB51" s="294"/>
      <c r="AC51" s="295"/>
      <c r="AD51" s="295"/>
      <c r="AE51" s="295"/>
      <c r="AF51" s="295"/>
      <c r="AG51" s="296"/>
      <c r="AH51" s="294"/>
      <c r="AI51" s="295"/>
      <c r="AJ51" s="295"/>
      <c r="AK51" s="295"/>
      <c r="AL51" s="295"/>
      <c r="AM51" s="296"/>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row>
    <row r="52" spans="1:80" x14ac:dyDescent="0.3">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row>
    <row r="53" spans="1:80" ht="15" customHeight="1" x14ac:dyDescent="0.3">
      <c r="A53" s="42"/>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row>
    <row r="54" spans="1:80" ht="15" customHeight="1" x14ac:dyDescent="0.3">
      <c r="A54" s="42"/>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row>
    <row r="55" spans="1:80" x14ac:dyDescent="0.3">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row>
    <row r="56" spans="1:80" x14ac:dyDescent="0.3">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row>
    <row r="57" spans="1:80" x14ac:dyDescent="0.3">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row>
    <row r="58" spans="1:80" x14ac:dyDescent="0.3">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42"/>
    </row>
    <row r="59" spans="1:80" x14ac:dyDescent="0.3">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row>
    <row r="60" spans="1:80" x14ac:dyDescent="0.3">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row>
    <row r="61" spans="1:80" x14ac:dyDescent="0.3">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row>
    <row r="62" spans="1:80" x14ac:dyDescent="0.3">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c r="BX62" s="42"/>
      <c r="BY62" s="42"/>
      <c r="BZ62" s="42"/>
      <c r="CA62" s="42"/>
      <c r="CB62" s="42"/>
    </row>
    <row r="63" spans="1:80" x14ac:dyDescent="0.3">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row>
    <row r="64" spans="1:80" x14ac:dyDescent="0.3">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row>
    <row r="65" spans="1:80" x14ac:dyDescent="0.3">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row>
    <row r="66" spans="1:80" x14ac:dyDescent="0.3">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row>
    <row r="67" spans="1:80" x14ac:dyDescent="0.3">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row>
    <row r="68" spans="1:80" x14ac:dyDescent="0.3">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row>
    <row r="69" spans="1:80" x14ac:dyDescent="0.3">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row>
    <row r="70" spans="1:80" x14ac:dyDescent="0.3">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c r="BY70" s="42"/>
      <c r="BZ70" s="42"/>
      <c r="CA70" s="42"/>
      <c r="CB70" s="42"/>
    </row>
    <row r="71" spans="1:80" x14ac:dyDescent="0.3">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row>
    <row r="72" spans="1:80" x14ac:dyDescent="0.3">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row>
    <row r="73" spans="1:80" x14ac:dyDescent="0.3">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row>
    <row r="74" spans="1:80" x14ac:dyDescent="0.3">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42"/>
    </row>
    <row r="75" spans="1:80" x14ac:dyDescent="0.3">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c r="BY75" s="42"/>
      <c r="BZ75" s="42"/>
      <c r="CA75" s="42"/>
      <c r="CB75" s="42"/>
    </row>
    <row r="76" spans="1:80" x14ac:dyDescent="0.3">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c r="BX76" s="42"/>
      <c r="BY76" s="42"/>
      <c r="BZ76" s="42"/>
      <c r="CA76" s="42"/>
      <c r="CB76" s="42"/>
    </row>
    <row r="77" spans="1:80" x14ac:dyDescent="0.3">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2"/>
      <c r="BY77" s="42"/>
      <c r="BZ77" s="42"/>
      <c r="CA77" s="42"/>
      <c r="CB77" s="42"/>
    </row>
    <row r="78" spans="1:80" x14ac:dyDescent="0.3">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row>
    <row r="79" spans="1:80" x14ac:dyDescent="0.3">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row>
    <row r="80" spans="1:80" x14ac:dyDescent="0.3">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row>
    <row r="81" spans="1:63" x14ac:dyDescent="0.3">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row>
    <row r="82" spans="1:63" x14ac:dyDescent="0.3">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row>
    <row r="83" spans="1:63" x14ac:dyDescent="0.3">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c r="BK83" s="42"/>
    </row>
    <row r="84" spans="1:63" x14ac:dyDescent="0.3">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row>
    <row r="85" spans="1:63" x14ac:dyDescent="0.3">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c r="BI85" s="42"/>
      <c r="BJ85" s="42"/>
      <c r="BK85" s="42"/>
    </row>
    <row r="86" spans="1:63" x14ac:dyDescent="0.3">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row>
    <row r="87" spans="1:63" x14ac:dyDescent="0.3">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row>
    <row r="88" spans="1:63" x14ac:dyDescent="0.3">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row>
    <row r="89" spans="1:63" x14ac:dyDescent="0.3">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row>
    <row r="90" spans="1:63" x14ac:dyDescent="0.3">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row>
    <row r="91" spans="1:63" x14ac:dyDescent="0.3">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row>
    <row r="92" spans="1:63" x14ac:dyDescent="0.3">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row>
    <row r="93" spans="1:63" x14ac:dyDescent="0.3">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row>
    <row r="94" spans="1:63" x14ac:dyDescent="0.3">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row>
    <row r="95" spans="1:63" x14ac:dyDescent="0.3">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row>
    <row r="96" spans="1:63" x14ac:dyDescent="0.3">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row>
    <row r="97" spans="1:63" x14ac:dyDescent="0.3">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row>
    <row r="98" spans="1:63" x14ac:dyDescent="0.3">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row>
    <row r="99" spans="1:63" x14ac:dyDescent="0.3">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row>
    <row r="100" spans="1:63" x14ac:dyDescent="0.3">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row>
    <row r="101" spans="1:63" x14ac:dyDescent="0.3">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c r="BI101" s="42"/>
      <c r="BJ101" s="42"/>
      <c r="BK101" s="42"/>
    </row>
    <row r="102" spans="1:63" x14ac:dyDescent="0.3">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c r="BI102" s="42"/>
      <c r="BJ102" s="42"/>
      <c r="BK102" s="42"/>
    </row>
    <row r="103" spans="1:63" x14ac:dyDescent="0.3">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row>
    <row r="104" spans="1:63" x14ac:dyDescent="0.3">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row>
    <row r="105" spans="1:63" x14ac:dyDescent="0.3">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row>
    <row r="106" spans="1:63" x14ac:dyDescent="0.3">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c r="BI106" s="42"/>
      <c r="BJ106" s="42"/>
      <c r="BK106" s="42"/>
    </row>
    <row r="107" spans="1:63" x14ac:dyDescent="0.3">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row>
    <row r="108" spans="1:63" x14ac:dyDescent="0.3">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c r="BI108" s="42"/>
      <c r="BJ108" s="42"/>
      <c r="BK108" s="42"/>
    </row>
    <row r="109" spans="1:63" x14ac:dyDescent="0.3">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c r="BI109" s="42"/>
      <c r="BJ109" s="42"/>
      <c r="BK109" s="42"/>
    </row>
    <row r="110" spans="1:63" x14ac:dyDescent="0.3">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c r="BI110" s="42"/>
      <c r="BJ110" s="42"/>
      <c r="BK110" s="42"/>
    </row>
    <row r="111" spans="1:63" x14ac:dyDescent="0.3">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row>
    <row r="112" spans="1:63" x14ac:dyDescent="0.3">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row>
    <row r="113" spans="1:63" x14ac:dyDescent="0.3">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row>
    <row r="114" spans="1:63" x14ac:dyDescent="0.3">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c r="BI114" s="42"/>
      <c r="BJ114" s="42"/>
      <c r="BK114" s="42"/>
    </row>
    <row r="115" spans="1:63" x14ac:dyDescent="0.3">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row>
    <row r="116" spans="1:63" x14ac:dyDescent="0.3">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row>
    <row r="117" spans="1:63" x14ac:dyDescent="0.3">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row>
    <row r="118" spans="1:63" x14ac:dyDescent="0.3">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row>
    <row r="119" spans="1:63" x14ac:dyDescent="0.3">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c r="BI119" s="42"/>
      <c r="BJ119" s="42"/>
      <c r="BK119" s="42"/>
    </row>
    <row r="120" spans="1:63" x14ac:dyDescent="0.3">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row>
    <row r="121" spans="1:63" x14ac:dyDescent="0.3">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row>
    <row r="122" spans="1:63" x14ac:dyDescent="0.3">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c r="BI122" s="42"/>
      <c r="BJ122" s="42"/>
      <c r="BK122" s="42"/>
    </row>
    <row r="123" spans="1:63" x14ac:dyDescent="0.3">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c r="BJ123" s="42"/>
      <c r="BK123" s="42"/>
    </row>
    <row r="124" spans="1:63" x14ac:dyDescent="0.3">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c r="BI124" s="42"/>
      <c r="BJ124" s="42"/>
      <c r="BK124" s="42"/>
    </row>
    <row r="125" spans="1:63" x14ac:dyDescent="0.3">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c r="BI125" s="42"/>
      <c r="BJ125" s="42"/>
      <c r="BK125" s="42"/>
    </row>
    <row r="126" spans="1:63" x14ac:dyDescent="0.3">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c r="BI126" s="42"/>
      <c r="BJ126" s="42"/>
      <c r="BK126" s="42"/>
    </row>
    <row r="127" spans="1:63" x14ac:dyDescent="0.3">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c r="BI127" s="42"/>
      <c r="BJ127" s="42"/>
      <c r="BK127" s="42"/>
    </row>
    <row r="128" spans="1:63" x14ac:dyDescent="0.3">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c r="BI128" s="42"/>
      <c r="BJ128" s="42"/>
      <c r="BK128" s="42"/>
    </row>
    <row r="129" spans="2:63" x14ac:dyDescent="0.3">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c r="BI129" s="42"/>
      <c r="BJ129" s="42"/>
      <c r="BK129" s="42"/>
    </row>
    <row r="130" spans="2:63" x14ac:dyDescent="0.3">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row>
    <row r="131" spans="2:63" x14ac:dyDescent="0.3">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c r="BI131" s="42"/>
      <c r="BJ131" s="42"/>
      <c r="BK131" s="42"/>
    </row>
    <row r="132" spans="2:63" x14ac:dyDescent="0.3">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row>
    <row r="133" spans="2:63" x14ac:dyDescent="0.3">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c r="BH133" s="42"/>
      <c r="BI133" s="42"/>
      <c r="BJ133" s="42"/>
      <c r="BK133" s="42"/>
    </row>
    <row r="134" spans="2:63" x14ac:dyDescent="0.3">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row>
    <row r="135" spans="2:63" x14ac:dyDescent="0.3">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2"/>
      <c r="BI135" s="42"/>
      <c r="BJ135" s="42"/>
      <c r="BK135" s="42"/>
    </row>
    <row r="136" spans="2:63" x14ac:dyDescent="0.3">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c r="BH136" s="42"/>
      <c r="BI136" s="42"/>
      <c r="BJ136" s="42"/>
      <c r="BK136" s="42"/>
    </row>
    <row r="137" spans="2:63" x14ac:dyDescent="0.3">
      <c r="B137" s="42"/>
      <c r="C137" s="42"/>
      <c r="D137" s="42"/>
      <c r="E137" s="42"/>
      <c r="F137" s="42"/>
      <c r="G137" s="42"/>
      <c r="H137" s="42"/>
      <c r="I137" s="42"/>
    </row>
    <row r="138" spans="2:63" x14ac:dyDescent="0.3">
      <c r="B138" s="42"/>
      <c r="C138" s="42"/>
      <c r="D138" s="42"/>
      <c r="E138" s="42"/>
      <c r="F138" s="42"/>
      <c r="G138" s="42"/>
      <c r="H138" s="42"/>
      <c r="I138" s="42"/>
    </row>
    <row r="139" spans="2:63" x14ac:dyDescent="0.3">
      <c r="B139" s="42"/>
      <c r="C139" s="42"/>
      <c r="D139" s="42"/>
      <c r="E139" s="42"/>
      <c r="F139" s="42"/>
      <c r="G139" s="42"/>
      <c r="H139" s="42"/>
      <c r="I139" s="42"/>
    </row>
    <row r="140" spans="2:63" x14ac:dyDescent="0.3">
      <c r="B140" s="42"/>
      <c r="C140" s="42"/>
      <c r="D140" s="42"/>
      <c r="E140" s="42"/>
      <c r="F140" s="42"/>
      <c r="G140" s="42"/>
      <c r="H140" s="42"/>
      <c r="I140" s="42"/>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2" zoomScale="37" zoomScaleNormal="37" workbookViewId="0">
      <selection activeCell="AL51" sqref="AL51"/>
    </sheetView>
  </sheetViews>
  <sheetFormatPr baseColWidth="10" defaultColWidth="11.44140625"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row>
    <row r="2" spans="1:91" ht="18" customHeight="1" x14ac:dyDescent="0.3">
      <c r="A2" s="42"/>
      <c r="B2" s="365" t="s">
        <v>218</v>
      </c>
      <c r="C2" s="366"/>
      <c r="D2" s="366"/>
      <c r="E2" s="366"/>
      <c r="F2" s="366"/>
      <c r="G2" s="366"/>
      <c r="H2" s="366"/>
      <c r="I2" s="366"/>
      <c r="J2" s="287" t="s">
        <v>15</v>
      </c>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row>
    <row r="3" spans="1:91" ht="18.75" customHeight="1" x14ac:dyDescent="0.3">
      <c r="A3" s="42"/>
      <c r="B3" s="366"/>
      <c r="C3" s="366"/>
      <c r="D3" s="366"/>
      <c r="E3" s="366"/>
      <c r="F3" s="366"/>
      <c r="G3" s="366"/>
      <c r="H3" s="366"/>
      <c r="I3" s="366"/>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row>
    <row r="4" spans="1:91" ht="15" customHeight="1" x14ac:dyDescent="0.3">
      <c r="A4" s="42"/>
      <c r="B4" s="366"/>
      <c r="C4" s="366"/>
      <c r="D4" s="366"/>
      <c r="E4" s="366"/>
      <c r="F4" s="366"/>
      <c r="G4" s="366"/>
      <c r="H4" s="366"/>
      <c r="I4" s="366"/>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row>
    <row r="5" spans="1:91" ht="15" thickBot="1" x14ac:dyDescent="0.35">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row>
    <row r="6" spans="1:91" ht="15" customHeight="1" x14ac:dyDescent="0.3">
      <c r="A6" s="42"/>
      <c r="B6" s="298" t="s">
        <v>203</v>
      </c>
      <c r="C6" s="298"/>
      <c r="D6" s="299"/>
      <c r="E6" s="336" t="s">
        <v>204</v>
      </c>
      <c r="F6" s="337"/>
      <c r="G6" s="337"/>
      <c r="H6" s="337"/>
      <c r="I6" s="338"/>
      <c r="J6" s="5" t="str">
        <f>IF(AND('Mapa final'!$Z$11="Muy Alta",'Mapa final'!$AB$11="Leve"),CONCATENATE("R1C",'Mapa final'!$P$11),"")</f>
        <v/>
      </c>
      <c r="K6" s="6" t="str">
        <f>IF(AND('Mapa final'!$Z$12="Muy Alta",'Mapa final'!$AB$12="Leve"),CONCATENATE("R1C",'Mapa final'!$P$12),"")</f>
        <v/>
      </c>
      <c r="L6" s="6" t="str">
        <f>IF(AND('Mapa final'!$Z$13="Muy Alta",'Mapa final'!$AB$13="Leve"),CONCATENATE("R1C",'Mapa final'!$P$13),"")</f>
        <v/>
      </c>
      <c r="M6" s="6" t="str">
        <f>IF(AND('Mapa final'!$Z$14="Muy Alta",'Mapa final'!$AB$14="Leve"),CONCATENATE("R1C",'Mapa final'!$P$14),"")</f>
        <v/>
      </c>
      <c r="N6" s="6" t="str">
        <f>IF(AND('Mapa final'!$Z$15="Muy Alta",'Mapa final'!$AB$15="Leve"),CONCATENATE("R1C",'Mapa final'!$P$15),"")</f>
        <v/>
      </c>
      <c r="O6" s="7" t="str">
        <f>IF(AND('Mapa final'!$Z$16="Muy Alta",'Mapa final'!$AB$16="Leve"),CONCATENATE("R1C",'Mapa final'!$P$16),"")</f>
        <v/>
      </c>
      <c r="P6" s="5" t="str">
        <f>IF(AND('Mapa final'!$Z$11="Muy Alta",'Mapa final'!$AB$11="Menor"),CONCATENATE("R1C",'Mapa final'!$P$11),"")</f>
        <v/>
      </c>
      <c r="Q6" s="6" t="str">
        <f>IF(AND('Mapa final'!$Z$12="Muy Alta",'Mapa final'!$AB$12="Menor"),CONCATENATE("R1C",'Mapa final'!$P$12),"")</f>
        <v/>
      </c>
      <c r="R6" s="6" t="str">
        <f>IF(AND('Mapa final'!$Z$13="Muy Alta",'Mapa final'!$AB$13="Menor"),CONCATENATE("R1C",'Mapa final'!$P$13),"")</f>
        <v/>
      </c>
      <c r="S6" s="6" t="str">
        <f>IF(AND('Mapa final'!$Z$14="Muy Alta",'Mapa final'!$AB$14="Menor"),CONCATENATE("R1C",'Mapa final'!$P$14),"")</f>
        <v/>
      </c>
      <c r="T6" s="6" t="str">
        <f>IF(AND('Mapa final'!$Z$15="Muy Alta",'Mapa final'!$AB$15="Menor"),CONCATENATE("R1C",'Mapa final'!$P$15),"")</f>
        <v/>
      </c>
      <c r="U6" s="7" t="str">
        <f>IF(AND('Mapa final'!$Z$16="Muy Alta",'Mapa final'!$AB$16="Menor"),CONCATENATE("R1C",'Mapa final'!$P$16),"")</f>
        <v/>
      </c>
      <c r="V6" s="5" t="str">
        <f>IF(AND('Mapa final'!$Z$11="Muy Alta",'Mapa final'!$AB$11="Moderado"),CONCATENATE("R1C",'Mapa final'!$P$11),"")</f>
        <v/>
      </c>
      <c r="W6" s="6" t="str">
        <f>IF(AND('Mapa final'!$Z$12="Muy Alta",'Mapa final'!$AB$12="Moderado"),CONCATENATE("R1C",'Mapa final'!$P$12),"")</f>
        <v/>
      </c>
      <c r="X6" s="6" t="str">
        <f>IF(AND('Mapa final'!$Z$13="Muy Alta",'Mapa final'!$AB$13="Moderado"),CONCATENATE("R1C",'Mapa final'!$P$13),"")</f>
        <v/>
      </c>
      <c r="Y6" s="6" t="str">
        <f>IF(AND('Mapa final'!$Z$14="Muy Alta",'Mapa final'!$AB$14="Moderado"),CONCATENATE("R1C",'Mapa final'!$P$14),"")</f>
        <v/>
      </c>
      <c r="Z6" s="6" t="str">
        <f>IF(AND('Mapa final'!$Z$15="Muy Alta",'Mapa final'!$AB$15="Moderado"),CONCATENATE("R1C",'Mapa final'!$P$15),"")</f>
        <v/>
      </c>
      <c r="AA6" s="7" t="str">
        <f>IF(AND('Mapa final'!$Z$16="Muy Alta",'Mapa final'!$AB$16="Moderado"),CONCATENATE("R1C",'Mapa final'!$P$16),"")</f>
        <v/>
      </c>
      <c r="AB6" s="5" t="str">
        <f>IF(AND('Mapa final'!$Z$11="Muy Alta",'Mapa final'!$AB$11="Mayor"),CONCATENATE("R1C",'Mapa final'!$P$11),"")</f>
        <v/>
      </c>
      <c r="AC6" s="6" t="str">
        <f>IF(AND('Mapa final'!$Z$12="Muy Alta",'Mapa final'!$AB$12="Mayor"),CONCATENATE("R1C",'Mapa final'!$P$12),"")</f>
        <v/>
      </c>
      <c r="AD6" s="6" t="str">
        <f>IF(AND('Mapa final'!$Z$13="Muy Alta",'Mapa final'!$AB$13="Mayor"),CONCATENATE("R1C",'Mapa final'!$P$13),"")</f>
        <v/>
      </c>
      <c r="AE6" s="6" t="str">
        <f>IF(AND('Mapa final'!$Z$14="Muy Alta",'Mapa final'!$AB$14="Mayor"),CONCATENATE("R1C",'Mapa final'!$P$14),"")</f>
        <v/>
      </c>
      <c r="AF6" s="6" t="str">
        <f>IF(AND('Mapa final'!$Z$15="Muy Alta",'Mapa final'!$AB$15="Mayor"),CONCATENATE("R1C",'Mapa final'!$P$15),"")</f>
        <v/>
      </c>
      <c r="AG6" s="7" t="str">
        <f>IF(AND('Mapa final'!$Z$16="Muy Alta",'Mapa final'!$AB$16="Mayor"),CONCATENATE("R1C",'Mapa final'!$P$16),"")</f>
        <v/>
      </c>
      <c r="AH6" s="8" t="str">
        <f>IF(AND('Mapa final'!$Z$11="Muy Alta",'Mapa final'!$AB$11="Catastrófico"),CONCATENATE("R1C",'Mapa final'!$P$11),"")</f>
        <v/>
      </c>
      <c r="AI6" s="9" t="str">
        <f>IF(AND('Mapa final'!$Z$12="Muy Alta",'Mapa final'!$AB$12="Catastrófico"),CONCATENATE("R1C",'Mapa final'!$P$12),"")</f>
        <v/>
      </c>
      <c r="AJ6" s="9" t="str">
        <f>IF(AND('Mapa final'!$Z$13="Muy Alta",'Mapa final'!$AB$13="Catastrófico"),CONCATENATE("R1C",'Mapa final'!$P$13),"")</f>
        <v/>
      </c>
      <c r="AK6" s="9" t="str">
        <f>IF(AND('Mapa final'!$Z$14="Muy Alta",'Mapa final'!$AB$14="Catastrófico"),CONCATENATE("R1C",'Mapa final'!$P$14),"")</f>
        <v/>
      </c>
      <c r="AL6" s="9" t="str">
        <f>IF(AND('Mapa final'!$Z$15="Muy Alta",'Mapa final'!$AB$15="Catastrófico"),CONCATENATE("R1C",'Mapa final'!$P$15),"")</f>
        <v/>
      </c>
      <c r="AM6" s="10" t="str">
        <f>IF(AND('Mapa final'!$Z$16="Muy Alta",'Mapa final'!$AB$16="Catastrófico"),CONCATENATE("R1C",'Mapa final'!$P$16),"")</f>
        <v/>
      </c>
      <c r="AN6" s="42"/>
      <c r="AO6" s="356" t="s">
        <v>205</v>
      </c>
      <c r="AP6" s="357"/>
      <c r="AQ6" s="357"/>
      <c r="AR6" s="357"/>
      <c r="AS6" s="357"/>
      <c r="AT6" s="358"/>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row>
    <row r="7" spans="1:91" ht="15" customHeight="1" x14ac:dyDescent="0.3">
      <c r="A7" s="42"/>
      <c r="B7" s="298"/>
      <c r="C7" s="298"/>
      <c r="D7" s="299"/>
      <c r="E7" s="339"/>
      <c r="F7" s="340"/>
      <c r="G7" s="340"/>
      <c r="H7" s="340"/>
      <c r="I7" s="341"/>
      <c r="J7" s="11" t="str">
        <f>IF(AND('Mapa final'!$Z$17="Muy Alta",'Mapa final'!$AB$17="Leve"),CONCATENATE("R2C",'Mapa final'!$P$17),"")</f>
        <v/>
      </c>
      <c r="K7" s="12" t="str">
        <f>IF(AND('Mapa final'!$Z$18="Muy Alta",'Mapa final'!$AB$18="Leve"),CONCATENATE("R2C",'Mapa final'!$P$18),"")</f>
        <v/>
      </c>
      <c r="L7" s="12" t="str">
        <f>IF(AND('Mapa final'!$Z$19="Muy Alta",'Mapa final'!$AB$19="Leve"),CONCATENATE("R2C",'Mapa final'!$P$19),"")</f>
        <v/>
      </c>
      <c r="M7" s="12" t="e">
        <f>IF(AND('Mapa final'!#REF!="Muy Alta",'Mapa final'!#REF!="Leve"),CONCATENATE("R2C",'Mapa final'!#REF!),"")</f>
        <v>#REF!</v>
      </c>
      <c r="N7" s="12" t="e">
        <f>IF(AND('Mapa final'!#REF!="Muy Alta",'Mapa final'!#REF!="Leve"),CONCATENATE("R2C",'Mapa final'!#REF!),"")</f>
        <v>#REF!</v>
      </c>
      <c r="O7" s="13" t="e">
        <f>IF(AND('Mapa final'!#REF!="Muy Alta",'Mapa final'!#REF!="Leve"),CONCATENATE("R2C",'Mapa final'!#REF!),"")</f>
        <v>#REF!</v>
      </c>
      <c r="P7" s="11" t="str">
        <f>IF(AND('Mapa final'!$Z$17="Muy Alta",'Mapa final'!$AB$17="Menor"),CONCATENATE("R2C",'Mapa final'!$P$17),"")</f>
        <v/>
      </c>
      <c r="Q7" s="12" t="str">
        <f>IF(AND('Mapa final'!$Z$18="Muy Alta",'Mapa final'!$AB$18="Menor"),CONCATENATE("R2C",'Mapa final'!$P$18),"")</f>
        <v/>
      </c>
      <c r="R7" s="12" t="str">
        <f>IF(AND('Mapa final'!$Z$19="Muy Alta",'Mapa final'!$AB$19="Menor"),CONCATENATE("R2C",'Mapa final'!$P$19),"")</f>
        <v/>
      </c>
      <c r="S7" s="12" t="e">
        <f>IF(AND('Mapa final'!#REF!="Muy Alta",'Mapa final'!#REF!="Menor"),CONCATENATE("R2C",'Mapa final'!#REF!),"")</f>
        <v>#REF!</v>
      </c>
      <c r="T7" s="12" t="e">
        <f>IF(AND('Mapa final'!#REF!="Muy Alta",'Mapa final'!#REF!="Menor"),CONCATENATE("R2C",'Mapa final'!#REF!),"")</f>
        <v>#REF!</v>
      </c>
      <c r="U7" s="13" t="e">
        <f>IF(AND('Mapa final'!#REF!="Muy Alta",'Mapa final'!#REF!="Menor"),CONCATENATE("R2C",'Mapa final'!#REF!),"")</f>
        <v>#REF!</v>
      </c>
      <c r="V7" s="11" t="str">
        <f>IF(AND('Mapa final'!$Z$17="Muy Alta",'Mapa final'!$AB$17="Moderado"),CONCATENATE("R2C",'Mapa final'!$P$17),"")</f>
        <v/>
      </c>
      <c r="W7" s="12" t="str">
        <f>IF(AND('Mapa final'!$Z$18="Muy Alta",'Mapa final'!$AB$18="Moderado"),CONCATENATE("R2C",'Mapa final'!$P$18),"")</f>
        <v/>
      </c>
      <c r="X7" s="12" t="str">
        <f>IF(AND('Mapa final'!$Z$19="Muy Alta",'Mapa final'!$AB$19="Moderado"),CONCATENATE("R2C",'Mapa final'!$P$19),"")</f>
        <v/>
      </c>
      <c r="Y7" s="12" t="e">
        <f>IF(AND('Mapa final'!#REF!="Muy Alta",'Mapa final'!#REF!="Moderado"),CONCATENATE("R2C",'Mapa final'!#REF!),"")</f>
        <v>#REF!</v>
      </c>
      <c r="Z7" s="12" t="e">
        <f>IF(AND('Mapa final'!#REF!="Muy Alta",'Mapa final'!#REF!="Moderado"),CONCATENATE("R2C",'Mapa final'!#REF!),"")</f>
        <v>#REF!</v>
      </c>
      <c r="AA7" s="13" t="e">
        <f>IF(AND('Mapa final'!#REF!="Muy Alta",'Mapa final'!#REF!="Moderado"),CONCATENATE("R2C",'Mapa final'!#REF!),"")</f>
        <v>#REF!</v>
      </c>
      <c r="AB7" s="11" t="str">
        <f>IF(AND('Mapa final'!$Z$17="Muy Alta",'Mapa final'!$AB$17="Mayor"),CONCATENATE("R2C",'Mapa final'!$P$17),"")</f>
        <v/>
      </c>
      <c r="AC7" s="12" t="str">
        <f>IF(AND('Mapa final'!$Z$18="Muy Alta",'Mapa final'!$AB$18="Mayor"),CONCATENATE("R2C",'Mapa final'!$P$18),"")</f>
        <v/>
      </c>
      <c r="AD7" s="12" t="str">
        <f>IF(AND('Mapa final'!$Z$19="Muy Alta",'Mapa final'!$AB$19="Mayor"),CONCATENATE("R2C",'Mapa final'!$P$19),"")</f>
        <v/>
      </c>
      <c r="AE7" s="12" t="e">
        <f>IF(AND('Mapa final'!#REF!="Muy Alta",'Mapa final'!#REF!="Mayor"),CONCATENATE("R2C",'Mapa final'!#REF!),"")</f>
        <v>#REF!</v>
      </c>
      <c r="AF7" s="12" t="e">
        <f>IF(AND('Mapa final'!#REF!="Muy Alta",'Mapa final'!#REF!="Mayor"),CONCATENATE("R2C",'Mapa final'!#REF!),"")</f>
        <v>#REF!</v>
      </c>
      <c r="AG7" s="13" t="e">
        <f>IF(AND('Mapa final'!#REF!="Muy Alta",'Mapa final'!#REF!="Mayor"),CONCATENATE("R2C",'Mapa final'!#REF!),"")</f>
        <v>#REF!</v>
      </c>
      <c r="AH7" s="14" t="str">
        <f>IF(AND('Mapa final'!$Z$17="Muy Alta",'Mapa final'!$AB$17="Catastrófico"),CONCATENATE("R2C",'Mapa final'!$P$17),"")</f>
        <v/>
      </c>
      <c r="AI7" s="15" t="str">
        <f>IF(AND('Mapa final'!$Z$18="Muy Alta",'Mapa final'!$AB$18="Catastrófico"),CONCATENATE("R2C",'Mapa final'!$P$18),"")</f>
        <v/>
      </c>
      <c r="AJ7" s="15" t="str">
        <f>IF(AND('Mapa final'!$Z$19="Muy Alta",'Mapa final'!$AB$19="Catastrófico"),CONCATENATE("R2C",'Mapa final'!$P$19),"")</f>
        <v/>
      </c>
      <c r="AK7" s="15" t="e">
        <f>IF(AND('Mapa final'!#REF!="Muy Alta",'Mapa final'!#REF!="Catastrófico"),CONCATENATE("R2C",'Mapa final'!#REF!),"")</f>
        <v>#REF!</v>
      </c>
      <c r="AL7" s="15" t="e">
        <f>IF(AND('Mapa final'!#REF!="Muy Alta",'Mapa final'!#REF!="Catastrófico"),CONCATENATE("R2C",'Mapa final'!#REF!),"")</f>
        <v>#REF!</v>
      </c>
      <c r="AM7" s="16" t="e">
        <f>IF(AND('Mapa final'!#REF!="Muy Alta",'Mapa final'!#REF!="Catastrófico"),CONCATENATE("R2C",'Mapa final'!#REF!),"")</f>
        <v>#REF!</v>
      </c>
      <c r="AN7" s="42"/>
      <c r="AO7" s="359"/>
      <c r="AP7" s="360"/>
      <c r="AQ7" s="360"/>
      <c r="AR7" s="360"/>
      <c r="AS7" s="360"/>
      <c r="AT7" s="361"/>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row>
    <row r="8" spans="1:91" ht="15" customHeight="1" x14ac:dyDescent="0.3">
      <c r="A8" s="42"/>
      <c r="B8" s="298"/>
      <c r="C8" s="298"/>
      <c r="D8" s="299"/>
      <c r="E8" s="339"/>
      <c r="F8" s="340"/>
      <c r="G8" s="340"/>
      <c r="H8" s="340"/>
      <c r="I8" s="341"/>
      <c r="J8" s="11" t="str">
        <f>IF(AND('Mapa final'!$Z$20="Muy Alta",'Mapa final'!$AB$20="Leve"),CONCATENATE("R3C",'Mapa final'!$P$20),"")</f>
        <v/>
      </c>
      <c r="K8" s="12" t="str">
        <f>IF(AND('Mapa final'!$Z$21="Muy Alta",'Mapa final'!$AB$21="Leve"),CONCATENATE("R3C",'Mapa final'!$P$21),"")</f>
        <v/>
      </c>
      <c r="L8" s="12" t="str">
        <f>IF(AND('Mapa final'!$Z$22="Muy Alta",'Mapa final'!$AB$22="Leve"),CONCATENATE("R3C",'Mapa final'!$P$22),"")</f>
        <v/>
      </c>
      <c r="M8" s="12" t="str">
        <f>IF(AND('Mapa final'!$Z$23="Muy Alta",'Mapa final'!$AB$23="Leve"),CONCATENATE("R3C",'Mapa final'!$P$23),"")</f>
        <v/>
      </c>
      <c r="N8" s="12" t="str">
        <f>IF(AND('Mapa final'!$Z$24="Muy Alta",'Mapa final'!$AB$24="Leve"),CONCATENATE("R3C",'Mapa final'!$P$24),"")</f>
        <v/>
      </c>
      <c r="O8" s="13" t="str">
        <f>IF(AND('Mapa final'!$Z$25="Muy Alta",'Mapa final'!$AB$25="Leve"),CONCATENATE("R3C",'Mapa final'!$P$25),"")</f>
        <v/>
      </c>
      <c r="P8" s="11" t="str">
        <f>IF(AND('Mapa final'!$Z$20="Muy Alta",'Mapa final'!$AB$20="Menor"),CONCATENATE("R3C",'Mapa final'!$P$20),"")</f>
        <v/>
      </c>
      <c r="Q8" s="12" t="str">
        <f>IF(AND('Mapa final'!$Z$21="Muy Alta",'Mapa final'!$AB$21="Menor"),CONCATENATE("R3C",'Mapa final'!$P$21),"")</f>
        <v/>
      </c>
      <c r="R8" s="12" t="str">
        <f>IF(AND('Mapa final'!$Z$22="Muy Alta",'Mapa final'!$AB$22="Menor"),CONCATENATE("R3C",'Mapa final'!$P$22),"")</f>
        <v/>
      </c>
      <c r="S8" s="12" t="str">
        <f>IF(AND('Mapa final'!$Z$23="Muy Alta",'Mapa final'!$AB$23="Menor"),CONCATENATE("R3C",'Mapa final'!$P$23),"")</f>
        <v/>
      </c>
      <c r="T8" s="12" t="str">
        <f>IF(AND('Mapa final'!$Z$24="Muy Alta",'Mapa final'!$AB$24="Menor"),CONCATENATE("R3C",'Mapa final'!$P$24),"")</f>
        <v/>
      </c>
      <c r="U8" s="13" t="str">
        <f>IF(AND('Mapa final'!$Z$25="Muy Alta",'Mapa final'!$AB$25="Menor"),CONCATENATE("R3C",'Mapa final'!$P$25),"")</f>
        <v/>
      </c>
      <c r="V8" s="11" t="str">
        <f>IF(AND('Mapa final'!$Z$20="Muy Alta",'Mapa final'!$AB$20="Moderado"),CONCATENATE("R3C",'Mapa final'!$P$20),"")</f>
        <v/>
      </c>
      <c r="W8" s="12" t="str">
        <f>IF(AND('Mapa final'!$Z$21="Muy Alta",'Mapa final'!$AB$21="Moderado"),CONCATENATE("R3C",'Mapa final'!$P$21),"")</f>
        <v/>
      </c>
      <c r="X8" s="12" t="str">
        <f>IF(AND('Mapa final'!$Z$22="Muy Alta",'Mapa final'!$AB$22="Moderado"),CONCATENATE("R3C",'Mapa final'!$P$22),"")</f>
        <v/>
      </c>
      <c r="Y8" s="12" t="str">
        <f>IF(AND('Mapa final'!$Z$23="Muy Alta",'Mapa final'!$AB$23="Moderado"),CONCATENATE("R3C",'Mapa final'!$P$23),"")</f>
        <v/>
      </c>
      <c r="Z8" s="12" t="str">
        <f>IF(AND('Mapa final'!$Z$24="Muy Alta",'Mapa final'!$AB$24="Moderado"),CONCATENATE("R3C",'Mapa final'!$P$24),"")</f>
        <v/>
      </c>
      <c r="AA8" s="13" t="str">
        <f>IF(AND('Mapa final'!$Z$25="Muy Alta",'Mapa final'!$AB$25="Moderado"),CONCATENATE("R3C",'Mapa final'!$P$25),"")</f>
        <v/>
      </c>
      <c r="AB8" s="11" t="str">
        <f>IF(AND('Mapa final'!$Z$20="Muy Alta",'Mapa final'!$AB$20="Mayor"),CONCATENATE("R3C",'Mapa final'!$P$20),"")</f>
        <v/>
      </c>
      <c r="AC8" s="12" t="str">
        <f>IF(AND('Mapa final'!$Z$21="Muy Alta",'Mapa final'!$AB$21="Mayor"),CONCATENATE("R3C",'Mapa final'!$P$21),"")</f>
        <v/>
      </c>
      <c r="AD8" s="12" t="str">
        <f>IF(AND('Mapa final'!$Z$22="Muy Alta",'Mapa final'!$AB$22="Mayor"),CONCATENATE("R3C",'Mapa final'!$P$22),"")</f>
        <v/>
      </c>
      <c r="AE8" s="12" t="str">
        <f>IF(AND('Mapa final'!$Z$23="Muy Alta",'Mapa final'!$AB$23="Mayor"),CONCATENATE("R3C",'Mapa final'!$P$23),"")</f>
        <v/>
      </c>
      <c r="AF8" s="12" t="str">
        <f>IF(AND('Mapa final'!$Z$24="Muy Alta",'Mapa final'!$AB$24="Mayor"),CONCATENATE("R3C",'Mapa final'!$P$24),"")</f>
        <v/>
      </c>
      <c r="AG8" s="13" t="str">
        <f>IF(AND('Mapa final'!$Z$25="Muy Alta",'Mapa final'!$AB$25="Mayor"),CONCATENATE("R3C",'Mapa final'!$P$25),"")</f>
        <v/>
      </c>
      <c r="AH8" s="14" t="str">
        <f>IF(AND('Mapa final'!$Z$20="Muy Alta",'Mapa final'!$AB$20="Catastrófico"),CONCATENATE("R3C",'Mapa final'!$P$20),"")</f>
        <v/>
      </c>
      <c r="AI8" s="15" t="str">
        <f>IF(AND('Mapa final'!$Z$21="Muy Alta",'Mapa final'!$AB$21="Catastrófico"),CONCATENATE("R3C",'Mapa final'!$P$21),"")</f>
        <v/>
      </c>
      <c r="AJ8" s="15" t="str">
        <f>IF(AND('Mapa final'!$Z$22="Muy Alta",'Mapa final'!$AB$22="Catastrófico"),CONCATENATE("R3C",'Mapa final'!$P$22),"")</f>
        <v/>
      </c>
      <c r="AK8" s="15" t="str">
        <f>IF(AND('Mapa final'!$Z$23="Muy Alta",'Mapa final'!$AB$23="Catastrófico"),CONCATENATE("R3C",'Mapa final'!$P$23),"")</f>
        <v/>
      </c>
      <c r="AL8" s="15" t="str">
        <f>IF(AND('Mapa final'!$Z$24="Muy Alta",'Mapa final'!$AB$24="Catastrófico"),CONCATENATE("R3C",'Mapa final'!$P$24),"")</f>
        <v/>
      </c>
      <c r="AM8" s="16" t="str">
        <f>IF(AND('Mapa final'!$Z$25="Muy Alta",'Mapa final'!$AB$25="Catastrófico"),CONCATENATE("R3C",'Mapa final'!$P$25),"")</f>
        <v/>
      </c>
      <c r="AN8" s="42"/>
      <c r="AO8" s="359"/>
      <c r="AP8" s="360"/>
      <c r="AQ8" s="360"/>
      <c r="AR8" s="360"/>
      <c r="AS8" s="360"/>
      <c r="AT8" s="361"/>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row>
    <row r="9" spans="1:91" ht="15" customHeight="1" x14ac:dyDescent="0.3">
      <c r="A9" s="42"/>
      <c r="B9" s="298"/>
      <c r="C9" s="298"/>
      <c r="D9" s="299"/>
      <c r="E9" s="339"/>
      <c r="F9" s="340"/>
      <c r="G9" s="340"/>
      <c r="H9" s="340"/>
      <c r="I9" s="341"/>
      <c r="J9" s="11" t="str">
        <f>IF(AND('Mapa final'!$Z$26="Muy Alta",'Mapa final'!$AB$26="Leve"),CONCATENATE("R4C",'Mapa final'!$P$26),"")</f>
        <v/>
      </c>
      <c r="K9" s="12" t="str">
        <f>IF(AND('Mapa final'!$Z$27="Muy Alta",'Mapa final'!$AB$27="Leve"),CONCATENATE("R4C",'Mapa final'!$P$27),"")</f>
        <v/>
      </c>
      <c r="L9" s="12" t="e">
        <f>IF(AND('Mapa final'!#REF!="Muy Alta",'Mapa final'!#REF!="Leve"),CONCATENATE("R4C",'Mapa final'!#REF!),"")</f>
        <v>#REF!</v>
      </c>
      <c r="M9" s="12" t="e">
        <f>IF(AND('Mapa final'!#REF!="Muy Alta",'Mapa final'!#REF!="Leve"),CONCATENATE("R4C",'Mapa final'!#REF!),"")</f>
        <v>#REF!</v>
      </c>
      <c r="N9" s="12" t="e">
        <f>IF(AND('Mapa final'!#REF!="Muy Alta",'Mapa final'!#REF!="Leve"),CONCATENATE("R4C",'Mapa final'!#REF!),"")</f>
        <v>#REF!</v>
      </c>
      <c r="O9" s="13" t="e">
        <f>IF(AND('Mapa final'!#REF!="Muy Alta",'Mapa final'!#REF!="Leve"),CONCATENATE("R4C",'Mapa final'!#REF!),"")</f>
        <v>#REF!</v>
      </c>
      <c r="P9" s="11" t="str">
        <f>IF(AND('Mapa final'!$Z$26="Muy Alta",'Mapa final'!$AB$26="Menor"),CONCATENATE("R4C",'Mapa final'!$P$26),"")</f>
        <v/>
      </c>
      <c r="Q9" s="12" t="str">
        <f>IF(AND('Mapa final'!$Z$27="Muy Alta",'Mapa final'!$AB$27="Menor"),CONCATENATE("R4C",'Mapa final'!$P$27),"")</f>
        <v/>
      </c>
      <c r="R9" s="12" t="e">
        <f>IF(AND('Mapa final'!#REF!="Muy Alta",'Mapa final'!#REF!="Menor"),CONCATENATE("R4C",'Mapa final'!#REF!),"")</f>
        <v>#REF!</v>
      </c>
      <c r="S9" s="12" t="e">
        <f>IF(AND('Mapa final'!#REF!="Muy Alta",'Mapa final'!#REF!="Menor"),CONCATENATE("R4C",'Mapa final'!#REF!),"")</f>
        <v>#REF!</v>
      </c>
      <c r="T9" s="12" t="e">
        <f>IF(AND('Mapa final'!#REF!="Muy Alta",'Mapa final'!#REF!="Menor"),CONCATENATE("R4C",'Mapa final'!#REF!),"")</f>
        <v>#REF!</v>
      </c>
      <c r="U9" s="13" t="e">
        <f>IF(AND('Mapa final'!#REF!="Muy Alta",'Mapa final'!#REF!="Menor"),CONCATENATE("R4C",'Mapa final'!#REF!),"")</f>
        <v>#REF!</v>
      </c>
      <c r="V9" s="11" t="str">
        <f>IF(AND('Mapa final'!$Z$26="Muy Alta",'Mapa final'!$AB$26="Moderado"),CONCATENATE("R4C",'Mapa final'!$P$26),"")</f>
        <v/>
      </c>
      <c r="W9" s="12" t="str">
        <f>IF(AND('Mapa final'!$Z$27="Muy Alta",'Mapa final'!$AB$27="Moderado"),CONCATENATE("R4C",'Mapa final'!$P$27),"")</f>
        <v/>
      </c>
      <c r="X9" s="12" t="e">
        <f>IF(AND('Mapa final'!#REF!="Muy Alta",'Mapa final'!#REF!="Moderado"),CONCATENATE("R4C",'Mapa final'!#REF!),"")</f>
        <v>#REF!</v>
      </c>
      <c r="Y9" s="12" t="e">
        <f>IF(AND('Mapa final'!#REF!="Muy Alta",'Mapa final'!#REF!="Moderado"),CONCATENATE("R4C",'Mapa final'!#REF!),"")</f>
        <v>#REF!</v>
      </c>
      <c r="Z9" s="12" t="e">
        <f>IF(AND('Mapa final'!#REF!="Muy Alta",'Mapa final'!#REF!="Moderado"),CONCATENATE("R4C",'Mapa final'!#REF!),"")</f>
        <v>#REF!</v>
      </c>
      <c r="AA9" s="13" t="e">
        <f>IF(AND('Mapa final'!#REF!="Muy Alta",'Mapa final'!#REF!="Moderado"),CONCATENATE("R4C",'Mapa final'!#REF!),"")</f>
        <v>#REF!</v>
      </c>
      <c r="AB9" s="11" t="str">
        <f>IF(AND('Mapa final'!$Z$26="Muy Alta",'Mapa final'!$AB$26="Mayor"),CONCATENATE("R4C",'Mapa final'!$P$26),"")</f>
        <v/>
      </c>
      <c r="AC9" s="12" t="str">
        <f>IF(AND('Mapa final'!$Z$27="Muy Alta",'Mapa final'!$AB$27="Mayor"),CONCATENATE("R4C",'Mapa final'!$P$27),"")</f>
        <v/>
      </c>
      <c r="AD9" s="12" t="e">
        <f>IF(AND('Mapa final'!#REF!="Muy Alta",'Mapa final'!#REF!="Mayor"),CONCATENATE("R4C",'Mapa final'!#REF!),"")</f>
        <v>#REF!</v>
      </c>
      <c r="AE9" s="12" t="e">
        <f>IF(AND('Mapa final'!#REF!="Muy Alta",'Mapa final'!#REF!="Mayor"),CONCATENATE("R4C",'Mapa final'!#REF!),"")</f>
        <v>#REF!</v>
      </c>
      <c r="AF9" s="12" t="e">
        <f>IF(AND('Mapa final'!#REF!="Muy Alta",'Mapa final'!#REF!="Mayor"),CONCATENATE("R4C",'Mapa final'!#REF!),"")</f>
        <v>#REF!</v>
      </c>
      <c r="AG9" s="13" t="e">
        <f>IF(AND('Mapa final'!#REF!="Muy Alta",'Mapa final'!#REF!="Mayor"),CONCATENATE("R4C",'Mapa final'!#REF!),"")</f>
        <v>#REF!</v>
      </c>
      <c r="AH9" s="14" t="str">
        <f>IF(AND('Mapa final'!$Z$26="Muy Alta",'Mapa final'!$AB$26="Catastrófico"),CONCATENATE("R4C",'Mapa final'!$P$26),"")</f>
        <v/>
      </c>
      <c r="AI9" s="15" t="str">
        <f>IF(AND('Mapa final'!$Z$27="Muy Alta",'Mapa final'!$AB$27="Catastrófico"),CONCATENATE("R4C",'Mapa final'!$P$27),"")</f>
        <v/>
      </c>
      <c r="AJ9" s="15" t="e">
        <f>IF(AND('Mapa final'!#REF!="Muy Alta",'Mapa final'!#REF!="Catastrófico"),CONCATENATE("R4C",'Mapa final'!#REF!),"")</f>
        <v>#REF!</v>
      </c>
      <c r="AK9" s="15" t="e">
        <f>IF(AND('Mapa final'!#REF!="Muy Alta",'Mapa final'!#REF!="Catastrófico"),CONCATENATE("R4C",'Mapa final'!#REF!),"")</f>
        <v>#REF!</v>
      </c>
      <c r="AL9" s="15" t="e">
        <f>IF(AND('Mapa final'!#REF!="Muy Alta",'Mapa final'!#REF!="Catastrófico"),CONCATENATE("R4C",'Mapa final'!#REF!),"")</f>
        <v>#REF!</v>
      </c>
      <c r="AM9" s="16" t="e">
        <f>IF(AND('Mapa final'!#REF!="Muy Alta",'Mapa final'!#REF!="Catastrófico"),CONCATENATE("R4C",'Mapa final'!#REF!),"")</f>
        <v>#REF!</v>
      </c>
      <c r="AN9" s="42"/>
      <c r="AO9" s="359"/>
      <c r="AP9" s="360"/>
      <c r="AQ9" s="360"/>
      <c r="AR9" s="360"/>
      <c r="AS9" s="360"/>
      <c r="AT9" s="361"/>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row>
    <row r="10" spans="1:91" ht="15" customHeight="1" x14ac:dyDescent="0.3">
      <c r="A10" s="42"/>
      <c r="B10" s="298"/>
      <c r="C10" s="298"/>
      <c r="D10" s="299"/>
      <c r="E10" s="339"/>
      <c r="F10" s="340"/>
      <c r="G10" s="340"/>
      <c r="H10" s="340"/>
      <c r="I10" s="341"/>
      <c r="J10" s="11" t="e">
        <f>IF(AND('Mapa final'!#REF!="Muy Alta",'Mapa final'!#REF!="Leve"),CONCATENATE("R5C",'Mapa final'!#REF!),"")</f>
        <v>#REF!</v>
      </c>
      <c r="K10" s="12" t="e">
        <f>IF(AND('Mapa final'!#REF!="Muy Alta",'Mapa final'!#REF!="Leve"),CONCATENATE("R5C",'Mapa final'!#REF!),"")</f>
        <v>#REF!</v>
      </c>
      <c r="L10" s="12" t="e">
        <f>IF(AND('Mapa final'!#REF!="Muy Alta",'Mapa final'!#REF!="Leve"),CONCATENATE("R5C",'Mapa final'!#REF!),"")</f>
        <v>#REF!</v>
      </c>
      <c r="M10" s="12" t="e">
        <f>IF(AND('Mapa final'!#REF!="Muy Alta",'Mapa final'!#REF!="Leve"),CONCATENATE("R5C",'Mapa final'!#REF!),"")</f>
        <v>#REF!</v>
      </c>
      <c r="N10" s="12" t="e">
        <f>IF(AND('Mapa final'!#REF!="Muy Alta",'Mapa final'!#REF!="Leve"),CONCATENATE("R5C",'Mapa final'!#REF!),"")</f>
        <v>#REF!</v>
      </c>
      <c r="O10" s="13" t="e">
        <f>IF(AND('Mapa final'!#REF!="Muy Alta",'Mapa final'!#REF!="Leve"),CONCATENATE("R5C",'Mapa final'!#REF!),"")</f>
        <v>#REF!</v>
      </c>
      <c r="P10" s="11" t="e">
        <f>IF(AND('Mapa final'!#REF!="Muy Alta",'Mapa final'!#REF!="Menor"),CONCATENATE("R5C",'Mapa final'!#REF!),"")</f>
        <v>#REF!</v>
      </c>
      <c r="Q10" s="12" t="e">
        <f>IF(AND('Mapa final'!#REF!="Muy Alta",'Mapa final'!#REF!="Menor"),CONCATENATE("R5C",'Mapa final'!#REF!),"")</f>
        <v>#REF!</v>
      </c>
      <c r="R10" s="12" t="e">
        <f>IF(AND('Mapa final'!#REF!="Muy Alta",'Mapa final'!#REF!="Menor"),CONCATENATE("R5C",'Mapa final'!#REF!),"")</f>
        <v>#REF!</v>
      </c>
      <c r="S10" s="12" t="e">
        <f>IF(AND('Mapa final'!#REF!="Muy Alta",'Mapa final'!#REF!="Menor"),CONCATENATE("R5C",'Mapa final'!#REF!),"")</f>
        <v>#REF!</v>
      </c>
      <c r="T10" s="12" t="e">
        <f>IF(AND('Mapa final'!#REF!="Muy Alta",'Mapa final'!#REF!="Menor"),CONCATENATE("R5C",'Mapa final'!#REF!),"")</f>
        <v>#REF!</v>
      </c>
      <c r="U10" s="13" t="e">
        <f>IF(AND('Mapa final'!#REF!="Muy Alta",'Mapa final'!#REF!="Menor"),CONCATENATE("R5C",'Mapa final'!#REF!),"")</f>
        <v>#REF!</v>
      </c>
      <c r="V10" s="11" t="e">
        <f>IF(AND('Mapa final'!#REF!="Muy Alta",'Mapa final'!#REF!="Moderado"),CONCATENATE("R5C",'Mapa final'!#REF!),"")</f>
        <v>#REF!</v>
      </c>
      <c r="W10" s="12" t="e">
        <f>IF(AND('Mapa final'!#REF!="Muy Alta",'Mapa final'!#REF!="Moderado"),CONCATENATE("R5C",'Mapa final'!#REF!),"")</f>
        <v>#REF!</v>
      </c>
      <c r="X10" s="12" t="e">
        <f>IF(AND('Mapa final'!#REF!="Muy Alta",'Mapa final'!#REF!="Moderado"),CONCATENATE("R5C",'Mapa final'!#REF!),"")</f>
        <v>#REF!</v>
      </c>
      <c r="Y10" s="12" t="e">
        <f>IF(AND('Mapa final'!#REF!="Muy Alta",'Mapa final'!#REF!="Moderado"),CONCATENATE("R5C",'Mapa final'!#REF!),"")</f>
        <v>#REF!</v>
      </c>
      <c r="Z10" s="12" t="e">
        <f>IF(AND('Mapa final'!#REF!="Muy Alta",'Mapa final'!#REF!="Moderado"),CONCATENATE("R5C",'Mapa final'!#REF!),"")</f>
        <v>#REF!</v>
      </c>
      <c r="AA10" s="13" t="e">
        <f>IF(AND('Mapa final'!#REF!="Muy Alta",'Mapa final'!#REF!="Moderado"),CONCATENATE("R5C",'Mapa final'!#REF!),"")</f>
        <v>#REF!</v>
      </c>
      <c r="AB10" s="11" t="e">
        <f>IF(AND('Mapa final'!#REF!="Muy Alta",'Mapa final'!#REF!="Mayor"),CONCATENATE("R5C",'Mapa final'!#REF!),"")</f>
        <v>#REF!</v>
      </c>
      <c r="AC10" s="12" t="e">
        <f>IF(AND('Mapa final'!#REF!="Muy Alta",'Mapa final'!#REF!="Mayor"),CONCATENATE("R5C",'Mapa final'!#REF!),"")</f>
        <v>#REF!</v>
      </c>
      <c r="AD10" s="12" t="e">
        <f>IF(AND('Mapa final'!#REF!="Muy Alta",'Mapa final'!#REF!="Mayor"),CONCATENATE("R5C",'Mapa final'!#REF!),"")</f>
        <v>#REF!</v>
      </c>
      <c r="AE10" s="12" t="e">
        <f>IF(AND('Mapa final'!#REF!="Muy Alta",'Mapa final'!#REF!="Mayor"),CONCATENATE("R5C",'Mapa final'!#REF!),"")</f>
        <v>#REF!</v>
      </c>
      <c r="AF10" s="12" t="e">
        <f>IF(AND('Mapa final'!#REF!="Muy Alta",'Mapa final'!#REF!="Mayor"),CONCATENATE("R5C",'Mapa final'!#REF!),"")</f>
        <v>#REF!</v>
      </c>
      <c r="AG10" s="13" t="e">
        <f>IF(AND('Mapa final'!#REF!="Muy Alta",'Mapa final'!#REF!="Mayor"),CONCATENATE("R5C",'Mapa final'!#REF!),"")</f>
        <v>#REF!</v>
      </c>
      <c r="AH10" s="14" t="e">
        <f>IF(AND('Mapa final'!#REF!="Muy Alta",'Mapa final'!#REF!="Catastrófico"),CONCATENATE("R5C",'Mapa final'!#REF!),"")</f>
        <v>#REF!</v>
      </c>
      <c r="AI10" s="15" t="e">
        <f>IF(AND('Mapa final'!#REF!="Muy Alta",'Mapa final'!#REF!="Catastrófico"),CONCATENATE("R5C",'Mapa final'!#REF!),"")</f>
        <v>#REF!</v>
      </c>
      <c r="AJ10" s="15" t="e">
        <f>IF(AND('Mapa final'!#REF!="Muy Alta",'Mapa final'!#REF!="Catastrófico"),CONCATENATE("R5C",'Mapa final'!#REF!),"")</f>
        <v>#REF!</v>
      </c>
      <c r="AK10" s="15" t="e">
        <f>IF(AND('Mapa final'!#REF!="Muy Alta",'Mapa final'!#REF!="Catastrófico"),CONCATENATE("R5C",'Mapa final'!#REF!),"")</f>
        <v>#REF!</v>
      </c>
      <c r="AL10" s="15" t="e">
        <f>IF(AND('Mapa final'!#REF!="Muy Alta",'Mapa final'!#REF!="Catastrófico"),CONCATENATE("R5C",'Mapa final'!#REF!),"")</f>
        <v>#REF!</v>
      </c>
      <c r="AM10" s="16" t="e">
        <f>IF(AND('Mapa final'!#REF!="Muy Alta",'Mapa final'!#REF!="Catastrófico"),CONCATENATE("R5C",'Mapa final'!#REF!),"")</f>
        <v>#REF!</v>
      </c>
      <c r="AN10" s="42"/>
      <c r="AO10" s="359"/>
      <c r="AP10" s="360"/>
      <c r="AQ10" s="360"/>
      <c r="AR10" s="360"/>
      <c r="AS10" s="360"/>
      <c r="AT10" s="361"/>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row>
    <row r="11" spans="1:91" ht="15" customHeight="1" x14ac:dyDescent="0.3">
      <c r="A11" s="42"/>
      <c r="B11" s="298"/>
      <c r="C11" s="298"/>
      <c r="D11" s="299"/>
      <c r="E11" s="339"/>
      <c r="F11" s="340"/>
      <c r="G11" s="340"/>
      <c r="H11" s="340"/>
      <c r="I11" s="341"/>
      <c r="J11" s="11" t="e">
        <f>IF(AND('Mapa final'!#REF!="Muy Alta",'Mapa final'!#REF!="Leve"),CONCATENATE("R6C",'Mapa final'!#REF!),"")</f>
        <v>#REF!</v>
      </c>
      <c r="K11" s="12" t="e">
        <f>IF(AND('Mapa final'!#REF!="Muy Alta",'Mapa final'!#REF!="Leve"),CONCATENATE("R6C",'Mapa final'!#REF!),"")</f>
        <v>#REF!</v>
      </c>
      <c r="L11" s="12" t="e">
        <f>IF(AND('Mapa final'!#REF!="Muy Alta",'Mapa final'!#REF!="Leve"),CONCATENATE("R6C",'Mapa final'!#REF!),"")</f>
        <v>#REF!</v>
      </c>
      <c r="M11" s="12" t="e">
        <f>IF(AND('Mapa final'!#REF!="Muy Alta",'Mapa final'!#REF!="Leve"),CONCATENATE("R6C",'Mapa final'!#REF!),"")</f>
        <v>#REF!</v>
      </c>
      <c r="N11" s="12" t="e">
        <f>IF(AND('Mapa final'!#REF!="Muy Alta",'Mapa final'!#REF!="Leve"),CONCATENATE("R6C",'Mapa final'!#REF!),"")</f>
        <v>#REF!</v>
      </c>
      <c r="O11" s="13" t="e">
        <f>IF(AND('Mapa final'!#REF!="Muy Alta",'Mapa final'!#REF!="Leve"),CONCATENATE("R6C",'Mapa final'!#REF!),"")</f>
        <v>#REF!</v>
      </c>
      <c r="P11" s="11" t="e">
        <f>IF(AND('Mapa final'!#REF!="Muy Alta",'Mapa final'!#REF!="Menor"),CONCATENATE("R6C",'Mapa final'!#REF!),"")</f>
        <v>#REF!</v>
      </c>
      <c r="Q11" s="12" t="e">
        <f>IF(AND('Mapa final'!#REF!="Muy Alta",'Mapa final'!#REF!="Menor"),CONCATENATE("R6C",'Mapa final'!#REF!),"")</f>
        <v>#REF!</v>
      </c>
      <c r="R11" s="12" t="e">
        <f>IF(AND('Mapa final'!#REF!="Muy Alta",'Mapa final'!#REF!="Menor"),CONCATENATE("R6C",'Mapa final'!#REF!),"")</f>
        <v>#REF!</v>
      </c>
      <c r="S11" s="12" t="e">
        <f>IF(AND('Mapa final'!#REF!="Muy Alta",'Mapa final'!#REF!="Menor"),CONCATENATE("R6C",'Mapa final'!#REF!),"")</f>
        <v>#REF!</v>
      </c>
      <c r="T11" s="12" t="e">
        <f>IF(AND('Mapa final'!#REF!="Muy Alta",'Mapa final'!#REF!="Menor"),CONCATENATE("R6C",'Mapa final'!#REF!),"")</f>
        <v>#REF!</v>
      </c>
      <c r="U11" s="13" t="e">
        <f>IF(AND('Mapa final'!#REF!="Muy Alta",'Mapa final'!#REF!="Menor"),CONCATENATE("R6C",'Mapa final'!#REF!),"")</f>
        <v>#REF!</v>
      </c>
      <c r="V11" s="11" t="e">
        <f>IF(AND('Mapa final'!#REF!="Muy Alta",'Mapa final'!#REF!="Moderado"),CONCATENATE("R6C",'Mapa final'!#REF!),"")</f>
        <v>#REF!</v>
      </c>
      <c r="W11" s="12" t="e">
        <f>IF(AND('Mapa final'!#REF!="Muy Alta",'Mapa final'!#REF!="Moderado"),CONCATENATE("R6C",'Mapa final'!#REF!),"")</f>
        <v>#REF!</v>
      </c>
      <c r="X11" s="12" t="e">
        <f>IF(AND('Mapa final'!#REF!="Muy Alta",'Mapa final'!#REF!="Moderado"),CONCATENATE("R6C",'Mapa final'!#REF!),"")</f>
        <v>#REF!</v>
      </c>
      <c r="Y11" s="12" t="e">
        <f>IF(AND('Mapa final'!#REF!="Muy Alta",'Mapa final'!#REF!="Moderado"),CONCATENATE("R6C",'Mapa final'!#REF!),"")</f>
        <v>#REF!</v>
      </c>
      <c r="Z11" s="12" t="e">
        <f>IF(AND('Mapa final'!#REF!="Muy Alta",'Mapa final'!#REF!="Moderado"),CONCATENATE("R6C",'Mapa final'!#REF!),"")</f>
        <v>#REF!</v>
      </c>
      <c r="AA11" s="13" t="e">
        <f>IF(AND('Mapa final'!#REF!="Muy Alta",'Mapa final'!#REF!="Moderado"),CONCATENATE("R6C",'Mapa final'!#REF!),"")</f>
        <v>#REF!</v>
      </c>
      <c r="AB11" s="11" t="e">
        <f>IF(AND('Mapa final'!#REF!="Muy Alta",'Mapa final'!#REF!="Mayor"),CONCATENATE("R6C",'Mapa final'!#REF!),"")</f>
        <v>#REF!</v>
      </c>
      <c r="AC11" s="12" t="e">
        <f>IF(AND('Mapa final'!#REF!="Muy Alta",'Mapa final'!#REF!="Mayor"),CONCATENATE("R6C",'Mapa final'!#REF!),"")</f>
        <v>#REF!</v>
      </c>
      <c r="AD11" s="12" t="e">
        <f>IF(AND('Mapa final'!#REF!="Muy Alta",'Mapa final'!#REF!="Mayor"),CONCATENATE("R6C",'Mapa final'!#REF!),"")</f>
        <v>#REF!</v>
      </c>
      <c r="AE11" s="12" t="e">
        <f>IF(AND('Mapa final'!#REF!="Muy Alta",'Mapa final'!#REF!="Mayor"),CONCATENATE("R6C",'Mapa final'!#REF!),"")</f>
        <v>#REF!</v>
      </c>
      <c r="AF11" s="12" t="e">
        <f>IF(AND('Mapa final'!#REF!="Muy Alta",'Mapa final'!#REF!="Mayor"),CONCATENATE("R6C",'Mapa final'!#REF!),"")</f>
        <v>#REF!</v>
      </c>
      <c r="AG11" s="13" t="e">
        <f>IF(AND('Mapa final'!#REF!="Muy Alta",'Mapa final'!#REF!="Mayor"),CONCATENATE("R6C",'Mapa final'!#REF!),"")</f>
        <v>#REF!</v>
      </c>
      <c r="AH11" s="14" t="e">
        <f>IF(AND('Mapa final'!#REF!="Muy Alta",'Mapa final'!#REF!="Catastrófico"),CONCATENATE("R6C",'Mapa final'!#REF!),"")</f>
        <v>#REF!</v>
      </c>
      <c r="AI11" s="15" t="e">
        <f>IF(AND('Mapa final'!#REF!="Muy Alta",'Mapa final'!#REF!="Catastrófico"),CONCATENATE("R6C",'Mapa final'!#REF!),"")</f>
        <v>#REF!</v>
      </c>
      <c r="AJ11" s="15" t="e">
        <f>IF(AND('Mapa final'!#REF!="Muy Alta",'Mapa final'!#REF!="Catastrófico"),CONCATENATE("R6C",'Mapa final'!#REF!),"")</f>
        <v>#REF!</v>
      </c>
      <c r="AK11" s="15" t="e">
        <f>IF(AND('Mapa final'!#REF!="Muy Alta",'Mapa final'!#REF!="Catastrófico"),CONCATENATE("R6C",'Mapa final'!#REF!),"")</f>
        <v>#REF!</v>
      </c>
      <c r="AL11" s="15" t="e">
        <f>IF(AND('Mapa final'!#REF!="Muy Alta",'Mapa final'!#REF!="Catastrófico"),CONCATENATE("R6C",'Mapa final'!#REF!),"")</f>
        <v>#REF!</v>
      </c>
      <c r="AM11" s="16" t="e">
        <f>IF(AND('Mapa final'!#REF!="Muy Alta",'Mapa final'!#REF!="Catastrófico"),CONCATENATE("R6C",'Mapa final'!#REF!),"")</f>
        <v>#REF!</v>
      </c>
      <c r="AN11" s="42"/>
      <c r="AO11" s="359"/>
      <c r="AP11" s="360"/>
      <c r="AQ11" s="360"/>
      <c r="AR11" s="360"/>
      <c r="AS11" s="360"/>
      <c r="AT11" s="361"/>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row>
    <row r="12" spans="1:91" ht="15" customHeight="1" x14ac:dyDescent="0.3">
      <c r="A12" s="42"/>
      <c r="B12" s="298"/>
      <c r="C12" s="298"/>
      <c r="D12" s="299"/>
      <c r="E12" s="339"/>
      <c r="F12" s="340"/>
      <c r="G12" s="340"/>
      <c r="H12" s="340"/>
      <c r="I12" s="341"/>
      <c r="J12" s="11" t="e">
        <f>IF(AND('Mapa final'!#REF!="Muy Alta",'Mapa final'!#REF!="Leve"),CONCATENATE("R7C",'Mapa final'!#REF!),"")</f>
        <v>#REF!</v>
      </c>
      <c r="K12" s="12" t="e">
        <f>IF(AND('Mapa final'!#REF!="Muy Alta",'Mapa final'!#REF!="Leve"),CONCATENATE("R7C",'Mapa final'!#REF!),"")</f>
        <v>#REF!</v>
      </c>
      <c r="L12" s="12" t="e">
        <f>IF(AND('Mapa final'!#REF!="Muy Alta",'Mapa final'!#REF!="Leve"),CONCATENATE("R7C",'Mapa final'!#REF!),"")</f>
        <v>#REF!</v>
      </c>
      <c r="M12" s="12" t="e">
        <f>IF(AND('Mapa final'!#REF!="Muy Alta",'Mapa final'!#REF!="Leve"),CONCATENATE("R7C",'Mapa final'!#REF!),"")</f>
        <v>#REF!</v>
      </c>
      <c r="N12" s="12" t="e">
        <f>IF(AND('Mapa final'!#REF!="Muy Alta",'Mapa final'!#REF!="Leve"),CONCATENATE("R7C",'Mapa final'!#REF!),"")</f>
        <v>#REF!</v>
      </c>
      <c r="O12" s="13" t="e">
        <f>IF(AND('Mapa final'!#REF!="Muy Alta",'Mapa final'!#REF!="Leve"),CONCATENATE("R7C",'Mapa final'!#REF!),"")</f>
        <v>#REF!</v>
      </c>
      <c r="P12" s="11" t="e">
        <f>IF(AND('Mapa final'!#REF!="Muy Alta",'Mapa final'!#REF!="Menor"),CONCATENATE("R7C",'Mapa final'!#REF!),"")</f>
        <v>#REF!</v>
      </c>
      <c r="Q12" s="12" t="e">
        <f>IF(AND('Mapa final'!#REF!="Muy Alta",'Mapa final'!#REF!="Menor"),CONCATENATE("R7C",'Mapa final'!#REF!),"")</f>
        <v>#REF!</v>
      </c>
      <c r="R12" s="12" t="e">
        <f>IF(AND('Mapa final'!#REF!="Muy Alta",'Mapa final'!#REF!="Menor"),CONCATENATE("R7C",'Mapa final'!#REF!),"")</f>
        <v>#REF!</v>
      </c>
      <c r="S12" s="12" t="e">
        <f>IF(AND('Mapa final'!#REF!="Muy Alta",'Mapa final'!#REF!="Menor"),CONCATENATE("R7C",'Mapa final'!#REF!),"")</f>
        <v>#REF!</v>
      </c>
      <c r="T12" s="12" t="e">
        <f>IF(AND('Mapa final'!#REF!="Muy Alta",'Mapa final'!#REF!="Menor"),CONCATENATE("R7C",'Mapa final'!#REF!),"")</f>
        <v>#REF!</v>
      </c>
      <c r="U12" s="13" t="e">
        <f>IF(AND('Mapa final'!#REF!="Muy Alta",'Mapa final'!#REF!="Menor"),CONCATENATE("R7C",'Mapa final'!#REF!),"")</f>
        <v>#REF!</v>
      </c>
      <c r="V12" s="11" t="e">
        <f>IF(AND('Mapa final'!#REF!="Muy Alta",'Mapa final'!#REF!="Moderado"),CONCATENATE("R7C",'Mapa final'!#REF!),"")</f>
        <v>#REF!</v>
      </c>
      <c r="W12" s="12" t="e">
        <f>IF(AND('Mapa final'!#REF!="Muy Alta",'Mapa final'!#REF!="Moderado"),CONCATENATE("R7C",'Mapa final'!#REF!),"")</f>
        <v>#REF!</v>
      </c>
      <c r="X12" s="12" t="e">
        <f>IF(AND('Mapa final'!#REF!="Muy Alta",'Mapa final'!#REF!="Moderado"),CONCATENATE("R7C",'Mapa final'!#REF!),"")</f>
        <v>#REF!</v>
      </c>
      <c r="Y12" s="12" t="e">
        <f>IF(AND('Mapa final'!#REF!="Muy Alta",'Mapa final'!#REF!="Moderado"),CONCATENATE("R7C",'Mapa final'!#REF!),"")</f>
        <v>#REF!</v>
      </c>
      <c r="Z12" s="12" t="e">
        <f>IF(AND('Mapa final'!#REF!="Muy Alta",'Mapa final'!#REF!="Moderado"),CONCATENATE("R7C",'Mapa final'!#REF!),"")</f>
        <v>#REF!</v>
      </c>
      <c r="AA12" s="13" t="e">
        <f>IF(AND('Mapa final'!#REF!="Muy Alta",'Mapa final'!#REF!="Moderado"),CONCATENATE("R7C",'Mapa final'!#REF!),"")</f>
        <v>#REF!</v>
      </c>
      <c r="AB12" s="11" t="e">
        <f>IF(AND('Mapa final'!#REF!="Muy Alta",'Mapa final'!#REF!="Mayor"),CONCATENATE("R7C",'Mapa final'!#REF!),"")</f>
        <v>#REF!</v>
      </c>
      <c r="AC12" s="12" t="e">
        <f>IF(AND('Mapa final'!#REF!="Muy Alta",'Mapa final'!#REF!="Mayor"),CONCATENATE("R7C",'Mapa final'!#REF!),"")</f>
        <v>#REF!</v>
      </c>
      <c r="AD12" s="12" t="e">
        <f>IF(AND('Mapa final'!#REF!="Muy Alta",'Mapa final'!#REF!="Mayor"),CONCATENATE("R7C",'Mapa final'!#REF!),"")</f>
        <v>#REF!</v>
      </c>
      <c r="AE12" s="12" t="e">
        <f>IF(AND('Mapa final'!#REF!="Muy Alta",'Mapa final'!#REF!="Mayor"),CONCATENATE("R7C",'Mapa final'!#REF!),"")</f>
        <v>#REF!</v>
      </c>
      <c r="AF12" s="12" t="e">
        <f>IF(AND('Mapa final'!#REF!="Muy Alta",'Mapa final'!#REF!="Mayor"),CONCATENATE("R7C",'Mapa final'!#REF!),"")</f>
        <v>#REF!</v>
      </c>
      <c r="AG12" s="13" t="e">
        <f>IF(AND('Mapa final'!#REF!="Muy Alta",'Mapa final'!#REF!="Mayor"),CONCATENATE("R7C",'Mapa final'!#REF!),"")</f>
        <v>#REF!</v>
      </c>
      <c r="AH12" s="14" t="e">
        <f>IF(AND('Mapa final'!#REF!="Muy Alta",'Mapa final'!#REF!="Catastrófico"),CONCATENATE("R7C",'Mapa final'!#REF!),"")</f>
        <v>#REF!</v>
      </c>
      <c r="AI12" s="15" t="e">
        <f>IF(AND('Mapa final'!#REF!="Muy Alta",'Mapa final'!#REF!="Catastrófico"),CONCATENATE("R7C",'Mapa final'!#REF!),"")</f>
        <v>#REF!</v>
      </c>
      <c r="AJ12" s="15" t="e">
        <f>IF(AND('Mapa final'!#REF!="Muy Alta",'Mapa final'!#REF!="Catastrófico"),CONCATENATE("R7C",'Mapa final'!#REF!),"")</f>
        <v>#REF!</v>
      </c>
      <c r="AK12" s="15" t="e">
        <f>IF(AND('Mapa final'!#REF!="Muy Alta",'Mapa final'!#REF!="Catastrófico"),CONCATENATE("R7C",'Mapa final'!#REF!),"")</f>
        <v>#REF!</v>
      </c>
      <c r="AL12" s="15" t="e">
        <f>IF(AND('Mapa final'!#REF!="Muy Alta",'Mapa final'!#REF!="Catastrófico"),CONCATENATE("R7C",'Mapa final'!#REF!),"")</f>
        <v>#REF!</v>
      </c>
      <c r="AM12" s="16" t="e">
        <f>IF(AND('Mapa final'!#REF!="Muy Alta",'Mapa final'!#REF!="Catastrófico"),CONCATENATE("R7C",'Mapa final'!#REF!),"")</f>
        <v>#REF!</v>
      </c>
      <c r="AN12" s="42"/>
      <c r="AO12" s="359"/>
      <c r="AP12" s="360"/>
      <c r="AQ12" s="360"/>
      <c r="AR12" s="360"/>
      <c r="AS12" s="360"/>
      <c r="AT12" s="361"/>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row>
    <row r="13" spans="1:91" ht="15" customHeight="1" x14ac:dyDescent="0.3">
      <c r="A13" s="42"/>
      <c r="B13" s="298"/>
      <c r="C13" s="298"/>
      <c r="D13" s="299"/>
      <c r="E13" s="339"/>
      <c r="F13" s="340"/>
      <c r="G13" s="340"/>
      <c r="H13" s="340"/>
      <c r="I13" s="341"/>
      <c r="J13" s="11" t="e">
        <f>IF(AND('Mapa final'!#REF!="Muy Alta",'Mapa final'!#REF!="Leve"),CONCATENATE("R8C",'Mapa final'!#REF!),"")</f>
        <v>#REF!</v>
      </c>
      <c r="K13" s="12" t="e">
        <f>IF(AND('Mapa final'!#REF!="Muy Alta",'Mapa final'!#REF!="Leve"),CONCATENATE("R8C",'Mapa final'!#REF!),"")</f>
        <v>#REF!</v>
      </c>
      <c r="L13" s="12" t="e">
        <f>IF(AND('Mapa final'!#REF!="Muy Alta",'Mapa final'!#REF!="Leve"),CONCATENATE("R8C",'Mapa final'!#REF!),"")</f>
        <v>#REF!</v>
      </c>
      <c r="M13" s="12" t="e">
        <f>IF(AND('Mapa final'!#REF!="Muy Alta",'Mapa final'!#REF!="Leve"),CONCATENATE("R8C",'Mapa final'!#REF!),"")</f>
        <v>#REF!</v>
      </c>
      <c r="N13" s="12" t="e">
        <f>IF(AND('Mapa final'!#REF!="Muy Alta",'Mapa final'!#REF!="Leve"),CONCATENATE("R8C",'Mapa final'!#REF!),"")</f>
        <v>#REF!</v>
      </c>
      <c r="O13" s="13" t="e">
        <f>IF(AND('Mapa final'!#REF!="Muy Alta",'Mapa final'!#REF!="Leve"),CONCATENATE("R8C",'Mapa final'!#REF!),"")</f>
        <v>#REF!</v>
      </c>
      <c r="P13" s="11" t="e">
        <f>IF(AND('Mapa final'!#REF!="Muy Alta",'Mapa final'!#REF!="Menor"),CONCATENATE("R8C",'Mapa final'!#REF!),"")</f>
        <v>#REF!</v>
      </c>
      <c r="Q13" s="12" t="e">
        <f>IF(AND('Mapa final'!#REF!="Muy Alta",'Mapa final'!#REF!="Menor"),CONCATENATE("R8C",'Mapa final'!#REF!),"")</f>
        <v>#REF!</v>
      </c>
      <c r="R13" s="12" t="e">
        <f>IF(AND('Mapa final'!#REF!="Muy Alta",'Mapa final'!#REF!="Menor"),CONCATENATE("R8C",'Mapa final'!#REF!),"")</f>
        <v>#REF!</v>
      </c>
      <c r="S13" s="12" t="e">
        <f>IF(AND('Mapa final'!#REF!="Muy Alta",'Mapa final'!#REF!="Menor"),CONCATENATE("R8C",'Mapa final'!#REF!),"")</f>
        <v>#REF!</v>
      </c>
      <c r="T13" s="12" t="e">
        <f>IF(AND('Mapa final'!#REF!="Muy Alta",'Mapa final'!#REF!="Menor"),CONCATENATE("R8C",'Mapa final'!#REF!),"")</f>
        <v>#REF!</v>
      </c>
      <c r="U13" s="13" t="e">
        <f>IF(AND('Mapa final'!#REF!="Muy Alta",'Mapa final'!#REF!="Menor"),CONCATENATE("R8C",'Mapa final'!#REF!),"")</f>
        <v>#REF!</v>
      </c>
      <c r="V13" s="11" t="e">
        <f>IF(AND('Mapa final'!#REF!="Muy Alta",'Mapa final'!#REF!="Moderado"),CONCATENATE("R8C",'Mapa final'!#REF!),"")</f>
        <v>#REF!</v>
      </c>
      <c r="W13" s="12" t="e">
        <f>IF(AND('Mapa final'!#REF!="Muy Alta",'Mapa final'!#REF!="Moderado"),CONCATENATE("R8C",'Mapa final'!#REF!),"")</f>
        <v>#REF!</v>
      </c>
      <c r="X13" s="12" t="e">
        <f>IF(AND('Mapa final'!#REF!="Muy Alta",'Mapa final'!#REF!="Moderado"),CONCATENATE("R8C",'Mapa final'!#REF!),"")</f>
        <v>#REF!</v>
      </c>
      <c r="Y13" s="12" t="e">
        <f>IF(AND('Mapa final'!#REF!="Muy Alta",'Mapa final'!#REF!="Moderado"),CONCATENATE("R8C",'Mapa final'!#REF!),"")</f>
        <v>#REF!</v>
      </c>
      <c r="Z13" s="12" t="e">
        <f>IF(AND('Mapa final'!#REF!="Muy Alta",'Mapa final'!#REF!="Moderado"),CONCATENATE("R8C",'Mapa final'!#REF!),"")</f>
        <v>#REF!</v>
      </c>
      <c r="AA13" s="13" t="e">
        <f>IF(AND('Mapa final'!#REF!="Muy Alta",'Mapa final'!#REF!="Moderado"),CONCATENATE("R8C",'Mapa final'!#REF!),"")</f>
        <v>#REF!</v>
      </c>
      <c r="AB13" s="11" t="e">
        <f>IF(AND('Mapa final'!#REF!="Muy Alta",'Mapa final'!#REF!="Mayor"),CONCATENATE("R8C",'Mapa final'!#REF!),"")</f>
        <v>#REF!</v>
      </c>
      <c r="AC13" s="12" t="e">
        <f>IF(AND('Mapa final'!#REF!="Muy Alta",'Mapa final'!#REF!="Mayor"),CONCATENATE("R8C",'Mapa final'!#REF!),"")</f>
        <v>#REF!</v>
      </c>
      <c r="AD13" s="12" t="e">
        <f>IF(AND('Mapa final'!#REF!="Muy Alta",'Mapa final'!#REF!="Mayor"),CONCATENATE("R8C",'Mapa final'!#REF!),"")</f>
        <v>#REF!</v>
      </c>
      <c r="AE13" s="12" t="e">
        <f>IF(AND('Mapa final'!#REF!="Muy Alta",'Mapa final'!#REF!="Mayor"),CONCATENATE("R8C",'Mapa final'!#REF!),"")</f>
        <v>#REF!</v>
      </c>
      <c r="AF13" s="12" t="e">
        <f>IF(AND('Mapa final'!#REF!="Muy Alta",'Mapa final'!#REF!="Mayor"),CONCATENATE("R8C",'Mapa final'!#REF!),"")</f>
        <v>#REF!</v>
      </c>
      <c r="AG13" s="13" t="e">
        <f>IF(AND('Mapa final'!#REF!="Muy Alta",'Mapa final'!#REF!="Mayor"),CONCATENATE("R8C",'Mapa final'!#REF!),"")</f>
        <v>#REF!</v>
      </c>
      <c r="AH13" s="14" t="e">
        <f>IF(AND('Mapa final'!#REF!="Muy Alta",'Mapa final'!#REF!="Catastrófico"),CONCATENATE("R8C",'Mapa final'!#REF!),"")</f>
        <v>#REF!</v>
      </c>
      <c r="AI13" s="15" t="e">
        <f>IF(AND('Mapa final'!#REF!="Muy Alta",'Mapa final'!#REF!="Catastrófico"),CONCATENATE("R8C",'Mapa final'!#REF!),"")</f>
        <v>#REF!</v>
      </c>
      <c r="AJ13" s="15" t="e">
        <f>IF(AND('Mapa final'!#REF!="Muy Alta",'Mapa final'!#REF!="Catastrófico"),CONCATENATE("R8C",'Mapa final'!#REF!),"")</f>
        <v>#REF!</v>
      </c>
      <c r="AK13" s="15" t="e">
        <f>IF(AND('Mapa final'!#REF!="Muy Alta",'Mapa final'!#REF!="Catastrófico"),CONCATENATE("R8C",'Mapa final'!#REF!),"")</f>
        <v>#REF!</v>
      </c>
      <c r="AL13" s="15" t="e">
        <f>IF(AND('Mapa final'!#REF!="Muy Alta",'Mapa final'!#REF!="Catastrófico"),CONCATENATE("R8C",'Mapa final'!#REF!),"")</f>
        <v>#REF!</v>
      </c>
      <c r="AM13" s="16" t="e">
        <f>IF(AND('Mapa final'!#REF!="Muy Alta",'Mapa final'!#REF!="Catastrófico"),CONCATENATE("R8C",'Mapa final'!#REF!),"")</f>
        <v>#REF!</v>
      </c>
      <c r="AN13" s="42"/>
      <c r="AO13" s="359"/>
      <c r="AP13" s="360"/>
      <c r="AQ13" s="360"/>
      <c r="AR13" s="360"/>
      <c r="AS13" s="360"/>
      <c r="AT13" s="361"/>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row>
    <row r="14" spans="1:91" ht="15" customHeight="1" x14ac:dyDescent="0.3">
      <c r="A14" s="42"/>
      <c r="B14" s="298"/>
      <c r="C14" s="298"/>
      <c r="D14" s="299"/>
      <c r="E14" s="339"/>
      <c r="F14" s="340"/>
      <c r="G14" s="340"/>
      <c r="H14" s="340"/>
      <c r="I14" s="341"/>
      <c r="J14" s="11" t="e">
        <f>IF(AND('Mapa final'!#REF!="Muy Alta",'Mapa final'!#REF!="Leve"),CONCATENATE("R9C",'Mapa final'!#REF!),"")</f>
        <v>#REF!</v>
      </c>
      <c r="K14" s="12" t="e">
        <f>IF(AND('Mapa final'!#REF!="Muy Alta",'Mapa final'!#REF!="Leve"),CONCATENATE("R9C",'Mapa final'!#REF!),"")</f>
        <v>#REF!</v>
      </c>
      <c r="L14" s="12" t="e">
        <f>IF(AND('Mapa final'!#REF!="Muy Alta",'Mapa final'!#REF!="Leve"),CONCATENATE("R9C",'Mapa final'!#REF!),"")</f>
        <v>#REF!</v>
      </c>
      <c r="M14" s="12" t="e">
        <f>IF(AND('Mapa final'!#REF!="Muy Alta",'Mapa final'!#REF!="Leve"),CONCATENATE("R9C",'Mapa final'!#REF!),"")</f>
        <v>#REF!</v>
      </c>
      <c r="N14" s="12" t="e">
        <f>IF(AND('Mapa final'!#REF!="Muy Alta",'Mapa final'!#REF!="Leve"),CONCATENATE("R9C",'Mapa final'!#REF!),"")</f>
        <v>#REF!</v>
      </c>
      <c r="O14" s="13" t="e">
        <f>IF(AND('Mapa final'!#REF!="Muy Alta",'Mapa final'!#REF!="Leve"),CONCATENATE("R9C",'Mapa final'!#REF!),"")</f>
        <v>#REF!</v>
      </c>
      <c r="P14" s="11" t="e">
        <f>IF(AND('Mapa final'!#REF!="Muy Alta",'Mapa final'!#REF!="Menor"),CONCATENATE("R9C",'Mapa final'!#REF!),"")</f>
        <v>#REF!</v>
      </c>
      <c r="Q14" s="12" t="e">
        <f>IF(AND('Mapa final'!#REF!="Muy Alta",'Mapa final'!#REF!="Menor"),CONCATENATE("R9C",'Mapa final'!#REF!),"")</f>
        <v>#REF!</v>
      </c>
      <c r="R14" s="12" t="e">
        <f>IF(AND('Mapa final'!#REF!="Muy Alta",'Mapa final'!#REF!="Menor"),CONCATENATE("R9C",'Mapa final'!#REF!),"")</f>
        <v>#REF!</v>
      </c>
      <c r="S14" s="12" t="e">
        <f>IF(AND('Mapa final'!#REF!="Muy Alta",'Mapa final'!#REF!="Menor"),CONCATENATE("R9C",'Mapa final'!#REF!),"")</f>
        <v>#REF!</v>
      </c>
      <c r="T14" s="12" t="e">
        <f>IF(AND('Mapa final'!#REF!="Muy Alta",'Mapa final'!#REF!="Menor"),CONCATENATE("R9C",'Mapa final'!#REF!),"")</f>
        <v>#REF!</v>
      </c>
      <c r="U14" s="13" t="e">
        <f>IF(AND('Mapa final'!#REF!="Muy Alta",'Mapa final'!#REF!="Menor"),CONCATENATE("R9C",'Mapa final'!#REF!),"")</f>
        <v>#REF!</v>
      </c>
      <c r="V14" s="11" t="e">
        <f>IF(AND('Mapa final'!#REF!="Muy Alta",'Mapa final'!#REF!="Moderado"),CONCATENATE("R9C",'Mapa final'!#REF!),"")</f>
        <v>#REF!</v>
      </c>
      <c r="W14" s="12" t="e">
        <f>IF(AND('Mapa final'!#REF!="Muy Alta",'Mapa final'!#REF!="Moderado"),CONCATENATE("R9C",'Mapa final'!#REF!),"")</f>
        <v>#REF!</v>
      </c>
      <c r="X14" s="12" t="e">
        <f>IF(AND('Mapa final'!#REF!="Muy Alta",'Mapa final'!#REF!="Moderado"),CONCATENATE("R9C",'Mapa final'!#REF!),"")</f>
        <v>#REF!</v>
      </c>
      <c r="Y14" s="12" t="e">
        <f>IF(AND('Mapa final'!#REF!="Muy Alta",'Mapa final'!#REF!="Moderado"),CONCATENATE("R9C",'Mapa final'!#REF!),"")</f>
        <v>#REF!</v>
      </c>
      <c r="Z14" s="12" t="e">
        <f>IF(AND('Mapa final'!#REF!="Muy Alta",'Mapa final'!#REF!="Moderado"),CONCATENATE("R9C",'Mapa final'!#REF!),"")</f>
        <v>#REF!</v>
      </c>
      <c r="AA14" s="13" t="e">
        <f>IF(AND('Mapa final'!#REF!="Muy Alta",'Mapa final'!#REF!="Moderado"),CONCATENATE("R9C",'Mapa final'!#REF!),"")</f>
        <v>#REF!</v>
      </c>
      <c r="AB14" s="11" t="e">
        <f>IF(AND('Mapa final'!#REF!="Muy Alta",'Mapa final'!#REF!="Mayor"),CONCATENATE("R9C",'Mapa final'!#REF!),"")</f>
        <v>#REF!</v>
      </c>
      <c r="AC14" s="12" t="e">
        <f>IF(AND('Mapa final'!#REF!="Muy Alta",'Mapa final'!#REF!="Mayor"),CONCATENATE("R9C",'Mapa final'!#REF!),"")</f>
        <v>#REF!</v>
      </c>
      <c r="AD14" s="12" t="e">
        <f>IF(AND('Mapa final'!#REF!="Muy Alta",'Mapa final'!#REF!="Mayor"),CONCATENATE("R9C",'Mapa final'!#REF!),"")</f>
        <v>#REF!</v>
      </c>
      <c r="AE14" s="12" t="e">
        <f>IF(AND('Mapa final'!#REF!="Muy Alta",'Mapa final'!#REF!="Mayor"),CONCATENATE("R9C",'Mapa final'!#REF!),"")</f>
        <v>#REF!</v>
      </c>
      <c r="AF14" s="12" t="e">
        <f>IF(AND('Mapa final'!#REF!="Muy Alta",'Mapa final'!#REF!="Mayor"),CONCATENATE("R9C",'Mapa final'!#REF!),"")</f>
        <v>#REF!</v>
      </c>
      <c r="AG14" s="13" t="e">
        <f>IF(AND('Mapa final'!#REF!="Muy Alta",'Mapa final'!#REF!="Mayor"),CONCATENATE("R9C",'Mapa final'!#REF!),"")</f>
        <v>#REF!</v>
      </c>
      <c r="AH14" s="14" t="e">
        <f>IF(AND('Mapa final'!#REF!="Muy Alta",'Mapa final'!#REF!="Catastrófico"),CONCATENATE("R9C",'Mapa final'!#REF!),"")</f>
        <v>#REF!</v>
      </c>
      <c r="AI14" s="15" t="e">
        <f>IF(AND('Mapa final'!#REF!="Muy Alta",'Mapa final'!#REF!="Catastrófico"),CONCATENATE("R9C",'Mapa final'!#REF!),"")</f>
        <v>#REF!</v>
      </c>
      <c r="AJ14" s="15" t="e">
        <f>IF(AND('Mapa final'!#REF!="Muy Alta",'Mapa final'!#REF!="Catastrófico"),CONCATENATE("R9C",'Mapa final'!#REF!),"")</f>
        <v>#REF!</v>
      </c>
      <c r="AK14" s="15" t="e">
        <f>IF(AND('Mapa final'!#REF!="Muy Alta",'Mapa final'!#REF!="Catastrófico"),CONCATENATE("R9C",'Mapa final'!#REF!),"")</f>
        <v>#REF!</v>
      </c>
      <c r="AL14" s="15" t="e">
        <f>IF(AND('Mapa final'!#REF!="Muy Alta",'Mapa final'!#REF!="Catastrófico"),CONCATENATE("R9C",'Mapa final'!#REF!),"")</f>
        <v>#REF!</v>
      </c>
      <c r="AM14" s="16" t="e">
        <f>IF(AND('Mapa final'!#REF!="Muy Alta",'Mapa final'!#REF!="Catastrófico"),CONCATENATE("R9C",'Mapa final'!#REF!),"")</f>
        <v>#REF!</v>
      </c>
      <c r="AN14" s="42"/>
      <c r="AO14" s="359"/>
      <c r="AP14" s="360"/>
      <c r="AQ14" s="360"/>
      <c r="AR14" s="360"/>
      <c r="AS14" s="360"/>
      <c r="AT14" s="361"/>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row>
    <row r="15" spans="1:91" ht="16.2" customHeight="1" thickBot="1" x14ac:dyDescent="0.35">
      <c r="A15" s="42"/>
      <c r="B15" s="298"/>
      <c r="C15" s="298"/>
      <c r="D15" s="299"/>
      <c r="E15" s="342"/>
      <c r="F15" s="343"/>
      <c r="G15" s="343"/>
      <c r="H15" s="343"/>
      <c r="I15" s="344"/>
      <c r="J15" s="17" t="e">
        <f>IF(AND('Mapa final'!#REF!="Muy Alta",'Mapa final'!#REF!="Leve"),CONCATENATE("R10C",'Mapa final'!#REF!),"")</f>
        <v>#REF!</v>
      </c>
      <c r="K15" s="18" t="e">
        <f>IF(AND('Mapa final'!#REF!="Muy Alta",'Mapa final'!#REF!="Leve"),CONCATENATE("R10C",'Mapa final'!#REF!),"")</f>
        <v>#REF!</v>
      </c>
      <c r="L15" s="18" t="e">
        <f>IF(AND('Mapa final'!#REF!="Muy Alta",'Mapa final'!#REF!="Leve"),CONCATENATE("R10C",'Mapa final'!#REF!),"")</f>
        <v>#REF!</v>
      </c>
      <c r="M15" s="18" t="e">
        <f>IF(AND('Mapa final'!#REF!="Muy Alta",'Mapa final'!#REF!="Leve"),CONCATENATE("R10C",'Mapa final'!#REF!),"")</f>
        <v>#REF!</v>
      </c>
      <c r="N15" s="18" t="e">
        <f>IF(AND('Mapa final'!#REF!="Muy Alta",'Mapa final'!#REF!="Leve"),CONCATENATE("R10C",'Mapa final'!#REF!),"")</f>
        <v>#REF!</v>
      </c>
      <c r="O15" s="19" t="e">
        <f>IF(AND('Mapa final'!#REF!="Muy Alta",'Mapa final'!#REF!="Leve"),CONCATENATE("R10C",'Mapa final'!#REF!),"")</f>
        <v>#REF!</v>
      </c>
      <c r="P15" s="11" t="e">
        <f>IF(AND('Mapa final'!#REF!="Muy Alta",'Mapa final'!#REF!="Menor"),CONCATENATE("R10C",'Mapa final'!#REF!),"")</f>
        <v>#REF!</v>
      </c>
      <c r="Q15" s="12" t="e">
        <f>IF(AND('Mapa final'!#REF!="Muy Alta",'Mapa final'!#REF!="Menor"),CONCATENATE("R10C",'Mapa final'!#REF!),"")</f>
        <v>#REF!</v>
      </c>
      <c r="R15" s="12" t="e">
        <f>IF(AND('Mapa final'!#REF!="Muy Alta",'Mapa final'!#REF!="Menor"),CONCATENATE("R10C",'Mapa final'!#REF!),"")</f>
        <v>#REF!</v>
      </c>
      <c r="S15" s="12" t="e">
        <f>IF(AND('Mapa final'!#REF!="Muy Alta",'Mapa final'!#REF!="Menor"),CONCATENATE("R10C",'Mapa final'!#REF!),"")</f>
        <v>#REF!</v>
      </c>
      <c r="T15" s="12" t="e">
        <f>IF(AND('Mapa final'!#REF!="Muy Alta",'Mapa final'!#REF!="Menor"),CONCATENATE("R10C",'Mapa final'!#REF!),"")</f>
        <v>#REF!</v>
      </c>
      <c r="U15" s="13" t="e">
        <f>IF(AND('Mapa final'!#REF!="Muy Alta",'Mapa final'!#REF!="Menor"),CONCATENATE("R10C",'Mapa final'!#REF!),"")</f>
        <v>#REF!</v>
      </c>
      <c r="V15" s="17" t="e">
        <f>IF(AND('Mapa final'!#REF!="Muy Alta",'Mapa final'!#REF!="Moderado"),CONCATENATE("R10C",'Mapa final'!#REF!),"")</f>
        <v>#REF!</v>
      </c>
      <c r="W15" s="18" t="e">
        <f>IF(AND('Mapa final'!#REF!="Muy Alta",'Mapa final'!#REF!="Moderado"),CONCATENATE("R10C",'Mapa final'!#REF!),"")</f>
        <v>#REF!</v>
      </c>
      <c r="X15" s="18" t="e">
        <f>IF(AND('Mapa final'!#REF!="Muy Alta",'Mapa final'!#REF!="Moderado"),CONCATENATE("R10C",'Mapa final'!#REF!),"")</f>
        <v>#REF!</v>
      </c>
      <c r="Y15" s="18" t="e">
        <f>IF(AND('Mapa final'!#REF!="Muy Alta",'Mapa final'!#REF!="Moderado"),CONCATENATE("R10C",'Mapa final'!#REF!),"")</f>
        <v>#REF!</v>
      </c>
      <c r="Z15" s="18" t="e">
        <f>IF(AND('Mapa final'!#REF!="Muy Alta",'Mapa final'!#REF!="Moderado"),CONCATENATE("R10C",'Mapa final'!#REF!),"")</f>
        <v>#REF!</v>
      </c>
      <c r="AA15" s="19" t="e">
        <f>IF(AND('Mapa final'!#REF!="Muy Alta",'Mapa final'!#REF!="Moderado"),CONCATENATE("R10C",'Mapa final'!#REF!),"")</f>
        <v>#REF!</v>
      </c>
      <c r="AB15" s="11" t="e">
        <f>IF(AND('Mapa final'!#REF!="Muy Alta",'Mapa final'!#REF!="Mayor"),CONCATENATE("R10C",'Mapa final'!#REF!),"")</f>
        <v>#REF!</v>
      </c>
      <c r="AC15" s="12" t="e">
        <f>IF(AND('Mapa final'!#REF!="Muy Alta",'Mapa final'!#REF!="Mayor"),CONCATENATE("R10C",'Mapa final'!#REF!),"")</f>
        <v>#REF!</v>
      </c>
      <c r="AD15" s="12" t="e">
        <f>IF(AND('Mapa final'!#REF!="Muy Alta",'Mapa final'!#REF!="Mayor"),CONCATENATE("R10C",'Mapa final'!#REF!),"")</f>
        <v>#REF!</v>
      </c>
      <c r="AE15" s="12" t="e">
        <f>IF(AND('Mapa final'!#REF!="Muy Alta",'Mapa final'!#REF!="Mayor"),CONCATENATE("R10C",'Mapa final'!#REF!),"")</f>
        <v>#REF!</v>
      </c>
      <c r="AF15" s="12" t="e">
        <f>IF(AND('Mapa final'!#REF!="Muy Alta",'Mapa final'!#REF!="Mayor"),CONCATENATE("R10C",'Mapa final'!#REF!),"")</f>
        <v>#REF!</v>
      </c>
      <c r="AG15" s="13" t="e">
        <f>IF(AND('Mapa final'!#REF!="Muy Alta",'Mapa final'!#REF!="Mayor"),CONCATENATE("R10C",'Mapa final'!#REF!),"")</f>
        <v>#REF!</v>
      </c>
      <c r="AH15" s="20" t="e">
        <f>IF(AND('Mapa final'!#REF!="Muy Alta",'Mapa final'!#REF!="Catastrófico"),CONCATENATE("R10C",'Mapa final'!#REF!),"")</f>
        <v>#REF!</v>
      </c>
      <c r="AI15" s="21" t="e">
        <f>IF(AND('Mapa final'!#REF!="Muy Alta",'Mapa final'!#REF!="Catastrófico"),CONCATENATE("R10C",'Mapa final'!#REF!),"")</f>
        <v>#REF!</v>
      </c>
      <c r="AJ15" s="21" t="e">
        <f>IF(AND('Mapa final'!#REF!="Muy Alta",'Mapa final'!#REF!="Catastrófico"),CONCATENATE("R10C",'Mapa final'!#REF!),"")</f>
        <v>#REF!</v>
      </c>
      <c r="AK15" s="21" t="e">
        <f>IF(AND('Mapa final'!#REF!="Muy Alta",'Mapa final'!#REF!="Catastrófico"),CONCATENATE("R10C",'Mapa final'!#REF!),"")</f>
        <v>#REF!</v>
      </c>
      <c r="AL15" s="21" t="e">
        <f>IF(AND('Mapa final'!#REF!="Muy Alta",'Mapa final'!#REF!="Catastrófico"),CONCATENATE("R10C",'Mapa final'!#REF!),"")</f>
        <v>#REF!</v>
      </c>
      <c r="AM15" s="22" t="e">
        <f>IF(AND('Mapa final'!#REF!="Muy Alta",'Mapa final'!#REF!="Catastrófico"),CONCATENATE("R10C",'Mapa final'!#REF!),"")</f>
        <v>#REF!</v>
      </c>
      <c r="AN15" s="42"/>
      <c r="AO15" s="362"/>
      <c r="AP15" s="363"/>
      <c r="AQ15" s="363"/>
      <c r="AR15" s="363"/>
      <c r="AS15" s="363"/>
      <c r="AT15" s="364"/>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row>
    <row r="16" spans="1:91" ht="15" customHeight="1" x14ac:dyDescent="0.3">
      <c r="A16" s="42"/>
      <c r="B16" s="298"/>
      <c r="C16" s="298"/>
      <c r="D16" s="299"/>
      <c r="E16" s="336" t="s">
        <v>206</v>
      </c>
      <c r="F16" s="337"/>
      <c r="G16" s="337"/>
      <c r="H16" s="337"/>
      <c r="I16" s="337"/>
      <c r="J16" s="23" t="str">
        <f>IF(AND('Mapa final'!$Z$11="Alta",'Mapa final'!$AB$11="Leve"),CONCATENATE("R1C",'Mapa final'!$P$11),"")</f>
        <v/>
      </c>
      <c r="K16" s="24" t="str">
        <f>IF(AND('Mapa final'!$Z$12="Alta",'Mapa final'!$AB$12="Leve"),CONCATENATE("R1C",'Mapa final'!$P$12),"")</f>
        <v/>
      </c>
      <c r="L16" s="24" t="str">
        <f>IF(AND('Mapa final'!$Z$13="Alta",'Mapa final'!$AB$13="Leve"),CONCATENATE("R1C",'Mapa final'!$P$13),"")</f>
        <v/>
      </c>
      <c r="M16" s="24" t="str">
        <f>IF(AND('Mapa final'!$Z$14="Alta",'Mapa final'!$AB$14="Leve"),CONCATENATE("R1C",'Mapa final'!$P$14),"")</f>
        <v/>
      </c>
      <c r="N16" s="24" t="str">
        <f>IF(AND('Mapa final'!$Z$15="Alta",'Mapa final'!$AB$15="Leve"),CONCATENATE("R1C",'Mapa final'!$P$15),"")</f>
        <v/>
      </c>
      <c r="O16" s="25" t="str">
        <f>IF(AND('Mapa final'!$Z$16="Alta",'Mapa final'!$AB$16="Leve"),CONCATENATE("R1C",'Mapa final'!$P$16),"")</f>
        <v/>
      </c>
      <c r="P16" s="23" t="str">
        <f>IF(AND('Mapa final'!$Z$11="Alta",'Mapa final'!$AB$11="Menor"),CONCATENATE("R1C",'Mapa final'!$P$11),"")</f>
        <v/>
      </c>
      <c r="Q16" s="24" t="str">
        <f>IF(AND('Mapa final'!$Z$12="Alta",'Mapa final'!$AB$12="Menor"),CONCATENATE("R1C",'Mapa final'!$P$12),"")</f>
        <v/>
      </c>
      <c r="R16" s="24" t="str">
        <f>IF(AND('Mapa final'!$Z$13="Alta",'Mapa final'!$AB$13="Menor"),CONCATENATE("R1C",'Mapa final'!$P$13),"")</f>
        <v/>
      </c>
      <c r="S16" s="24" t="str">
        <f>IF(AND('Mapa final'!$Z$14="Alta",'Mapa final'!$AB$14="Menor"),CONCATENATE("R1C",'Mapa final'!$P$14),"")</f>
        <v/>
      </c>
      <c r="T16" s="24" t="str">
        <f>IF(AND('Mapa final'!$Z$15="Alta",'Mapa final'!$AB$15="Menor"),CONCATENATE("R1C",'Mapa final'!$P$15),"")</f>
        <v/>
      </c>
      <c r="U16" s="25" t="str">
        <f>IF(AND('Mapa final'!$Z$16="Alta",'Mapa final'!$AB$16="Menor"),CONCATENATE("R1C",'Mapa final'!$P$16),"")</f>
        <v/>
      </c>
      <c r="V16" s="5" t="str">
        <f>IF(AND('Mapa final'!$Z$11="Alta",'Mapa final'!$AB$11="Moderado"),CONCATENATE("R1C",'Mapa final'!$P$11),"")</f>
        <v/>
      </c>
      <c r="W16" s="6" t="str">
        <f>IF(AND('Mapa final'!$Z$12="Alta",'Mapa final'!$AB$12="Moderado"),CONCATENATE("R1C",'Mapa final'!$P$12),"")</f>
        <v/>
      </c>
      <c r="X16" s="6" t="str">
        <f>IF(AND('Mapa final'!$Z$13="Alta",'Mapa final'!$AB$13="Moderado"),CONCATENATE("R1C",'Mapa final'!$P$13),"")</f>
        <v/>
      </c>
      <c r="Y16" s="6" t="str">
        <f>IF(AND('Mapa final'!$Z$14="Alta",'Mapa final'!$AB$14="Moderado"),CONCATENATE("R1C",'Mapa final'!$P$14),"")</f>
        <v/>
      </c>
      <c r="Z16" s="6" t="str">
        <f>IF(AND('Mapa final'!$Z$15="Alta",'Mapa final'!$AB$15="Moderado"),CONCATENATE("R1C",'Mapa final'!$P$15),"")</f>
        <v/>
      </c>
      <c r="AA16" s="7" t="str">
        <f>IF(AND('Mapa final'!$Z$16="Alta",'Mapa final'!$AB$16="Moderado"),CONCATENATE("R1C",'Mapa final'!$P$16),"")</f>
        <v/>
      </c>
      <c r="AB16" s="5" t="str">
        <f>IF(AND('Mapa final'!$Z$11="Alta",'Mapa final'!$AB$11="Mayor"),CONCATENATE("R1C",'Mapa final'!$P$11),"")</f>
        <v/>
      </c>
      <c r="AC16" s="6" t="str">
        <f>IF(AND('Mapa final'!$Z$12="Alta",'Mapa final'!$AB$12="Mayor"),CONCATENATE("R1C",'Mapa final'!$P$12),"")</f>
        <v/>
      </c>
      <c r="AD16" s="6" t="str">
        <f>IF(AND('Mapa final'!$Z$13="Alta",'Mapa final'!$AB$13="Mayor"),CONCATENATE("R1C",'Mapa final'!$P$13),"")</f>
        <v/>
      </c>
      <c r="AE16" s="6" t="str">
        <f>IF(AND('Mapa final'!$Z$14="Alta",'Mapa final'!$AB$14="Mayor"),CONCATENATE("R1C",'Mapa final'!$P$14),"")</f>
        <v/>
      </c>
      <c r="AF16" s="6" t="str">
        <f>IF(AND('Mapa final'!$Z$15="Alta",'Mapa final'!$AB$15="Mayor"),CONCATENATE("R1C",'Mapa final'!$P$15),"")</f>
        <v/>
      </c>
      <c r="AG16" s="7" t="str">
        <f>IF(AND('Mapa final'!$Z$16="Alta",'Mapa final'!$AB$16="Mayor"),CONCATENATE("R1C",'Mapa final'!$P$16),"")</f>
        <v/>
      </c>
      <c r="AH16" s="8" t="str">
        <f>IF(AND('Mapa final'!$Z$11="Alta",'Mapa final'!$AB$11="Catastrófico"),CONCATENATE("R1C",'Mapa final'!$P$11),"")</f>
        <v/>
      </c>
      <c r="AI16" s="9" t="str">
        <f>IF(AND('Mapa final'!$Z$12="Alta",'Mapa final'!$AB$12="Catastrófico"),CONCATENATE("R1C",'Mapa final'!$P$12),"")</f>
        <v/>
      </c>
      <c r="AJ16" s="9" t="str">
        <f>IF(AND('Mapa final'!$Z$13="Alta",'Mapa final'!$AB$13="Catastrófico"),CONCATENATE("R1C",'Mapa final'!$P$13),"")</f>
        <v/>
      </c>
      <c r="AK16" s="9" t="str">
        <f>IF(AND('Mapa final'!$Z$14="Alta",'Mapa final'!$AB$14="Catastrófico"),CONCATENATE("R1C",'Mapa final'!$P$14),"")</f>
        <v/>
      </c>
      <c r="AL16" s="9" t="str">
        <f>IF(AND('Mapa final'!$Z$15="Alta",'Mapa final'!$AB$15="Catastrófico"),CONCATENATE("R1C",'Mapa final'!$P$15),"")</f>
        <v/>
      </c>
      <c r="AM16" s="10" t="str">
        <f>IF(AND('Mapa final'!$Z$16="Alta",'Mapa final'!$AB$16="Catastrófico"),CONCATENATE("R1C",'Mapa final'!$P$16),"")</f>
        <v/>
      </c>
      <c r="AN16" s="42"/>
      <c r="AO16" s="346" t="s">
        <v>207</v>
      </c>
      <c r="AP16" s="347"/>
      <c r="AQ16" s="347"/>
      <c r="AR16" s="347"/>
      <c r="AS16" s="347"/>
      <c r="AT16" s="348"/>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row>
    <row r="17" spans="1:76" ht="15" customHeight="1" x14ac:dyDescent="0.3">
      <c r="A17" s="42"/>
      <c r="B17" s="298"/>
      <c r="C17" s="298"/>
      <c r="D17" s="299"/>
      <c r="E17" s="355"/>
      <c r="F17" s="340"/>
      <c r="G17" s="340"/>
      <c r="H17" s="340"/>
      <c r="I17" s="340"/>
      <c r="J17" s="26" t="str">
        <f>IF(AND('Mapa final'!$Z$17="Alta",'Mapa final'!$AB$17="Leve"),CONCATENATE("R2C",'Mapa final'!$P$17),"")</f>
        <v/>
      </c>
      <c r="K17" s="27" t="str">
        <f>IF(AND('Mapa final'!$Z$18="Alta",'Mapa final'!$AB$18="Leve"),CONCATENATE("R2C",'Mapa final'!$P$18),"")</f>
        <v/>
      </c>
      <c r="L17" s="27" t="str">
        <f>IF(AND('Mapa final'!$Z$19="Alta",'Mapa final'!$AB$19="Leve"),CONCATENATE("R2C",'Mapa final'!$P$19),"")</f>
        <v/>
      </c>
      <c r="M17" s="27" t="e">
        <f>IF(AND('Mapa final'!#REF!="Alta",'Mapa final'!#REF!="Leve"),CONCATENATE("R2C",'Mapa final'!#REF!),"")</f>
        <v>#REF!</v>
      </c>
      <c r="N17" s="27" t="e">
        <f>IF(AND('Mapa final'!#REF!="Alta",'Mapa final'!#REF!="Leve"),CONCATENATE("R2C",'Mapa final'!#REF!),"")</f>
        <v>#REF!</v>
      </c>
      <c r="O17" s="28" t="e">
        <f>IF(AND('Mapa final'!#REF!="Alta",'Mapa final'!#REF!="Leve"),CONCATENATE("R2C",'Mapa final'!#REF!),"")</f>
        <v>#REF!</v>
      </c>
      <c r="P17" s="26" t="str">
        <f>IF(AND('Mapa final'!$Z$17="Alta",'Mapa final'!$AB$17="Menor"),CONCATENATE("R2C",'Mapa final'!$P$17),"")</f>
        <v/>
      </c>
      <c r="Q17" s="27" t="str">
        <f>IF(AND('Mapa final'!$Z$18="Alta",'Mapa final'!$AB$18="Menor"),CONCATENATE("R2C",'Mapa final'!$P$18),"")</f>
        <v/>
      </c>
      <c r="R17" s="27" t="str">
        <f>IF(AND('Mapa final'!$Z$19="Alta",'Mapa final'!$AB$19="Menor"),CONCATENATE("R2C",'Mapa final'!$P$19),"")</f>
        <v/>
      </c>
      <c r="S17" s="27" t="e">
        <f>IF(AND('Mapa final'!#REF!="Alta",'Mapa final'!#REF!="Menor"),CONCATENATE("R2C",'Mapa final'!#REF!),"")</f>
        <v>#REF!</v>
      </c>
      <c r="T17" s="27" t="e">
        <f>IF(AND('Mapa final'!#REF!="Alta",'Mapa final'!#REF!="Menor"),CONCATENATE("R2C",'Mapa final'!#REF!),"")</f>
        <v>#REF!</v>
      </c>
      <c r="U17" s="28" t="e">
        <f>IF(AND('Mapa final'!#REF!="Alta",'Mapa final'!#REF!="Menor"),CONCATENATE("R2C",'Mapa final'!#REF!),"")</f>
        <v>#REF!</v>
      </c>
      <c r="V17" s="11" t="str">
        <f>IF(AND('Mapa final'!$Z$17="Alta",'Mapa final'!$AB$17="Moderado"),CONCATENATE("R2C",'Mapa final'!$P$17),"")</f>
        <v/>
      </c>
      <c r="W17" s="12" t="str">
        <f>IF(AND('Mapa final'!$Z$18="Alta",'Mapa final'!$AB$18="Moderado"),CONCATENATE("R2C",'Mapa final'!$P$18),"")</f>
        <v/>
      </c>
      <c r="X17" s="12" t="str">
        <f>IF(AND('Mapa final'!$Z$19="Alta",'Mapa final'!$AB$19="Moderado"),CONCATENATE("R2C",'Mapa final'!$P$19),"")</f>
        <v/>
      </c>
      <c r="Y17" s="12" t="e">
        <f>IF(AND('Mapa final'!#REF!="Alta",'Mapa final'!#REF!="Moderado"),CONCATENATE("R2C",'Mapa final'!#REF!),"")</f>
        <v>#REF!</v>
      </c>
      <c r="Z17" s="12" t="e">
        <f>IF(AND('Mapa final'!#REF!="Alta",'Mapa final'!#REF!="Moderado"),CONCATENATE("R2C",'Mapa final'!#REF!),"")</f>
        <v>#REF!</v>
      </c>
      <c r="AA17" s="13" t="e">
        <f>IF(AND('Mapa final'!#REF!="Alta",'Mapa final'!#REF!="Moderado"),CONCATENATE("R2C",'Mapa final'!#REF!),"")</f>
        <v>#REF!</v>
      </c>
      <c r="AB17" s="11" t="str">
        <f>IF(AND('Mapa final'!$Z$17="Alta",'Mapa final'!$AB$17="Mayor"),CONCATENATE("R2C",'Mapa final'!$P$17),"")</f>
        <v/>
      </c>
      <c r="AC17" s="12" t="str">
        <f>IF(AND('Mapa final'!$Z$18="Alta",'Mapa final'!$AB$18="Mayor"),CONCATENATE("R2C",'Mapa final'!$P$18),"")</f>
        <v/>
      </c>
      <c r="AD17" s="12" t="str">
        <f>IF(AND('Mapa final'!$Z$19="Alta",'Mapa final'!$AB$19="Mayor"),CONCATENATE("R2C",'Mapa final'!$P$19),"")</f>
        <v/>
      </c>
      <c r="AE17" s="12" t="e">
        <f>IF(AND('Mapa final'!#REF!="Alta",'Mapa final'!#REF!="Mayor"),CONCATENATE("R2C",'Mapa final'!#REF!),"")</f>
        <v>#REF!</v>
      </c>
      <c r="AF17" s="12" t="e">
        <f>IF(AND('Mapa final'!#REF!="Alta",'Mapa final'!#REF!="Mayor"),CONCATENATE("R2C",'Mapa final'!#REF!),"")</f>
        <v>#REF!</v>
      </c>
      <c r="AG17" s="13" t="e">
        <f>IF(AND('Mapa final'!#REF!="Alta",'Mapa final'!#REF!="Mayor"),CONCATENATE("R2C",'Mapa final'!#REF!),"")</f>
        <v>#REF!</v>
      </c>
      <c r="AH17" s="14" t="str">
        <f>IF(AND('Mapa final'!$Z$17="Alta",'Mapa final'!$AB$17="Catastrófico"),CONCATENATE("R2C",'Mapa final'!$P$17),"")</f>
        <v/>
      </c>
      <c r="AI17" s="15" t="str">
        <f>IF(AND('Mapa final'!$Z$18="Alta",'Mapa final'!$AB$18="Catastrófico"),CONCATENATE("R2C",'Mapa final'!$P$18),"")</f>
        <v/>
      </c>
      <c r="AJ17" s="15" t="str">
        <f>IF(AND('Mapa final'!$Z$19="Alta",'Mapa final'!$AB$19="Catastrófico"),CONCATENATE("R2C",'Mapa final'!$P$19),"")</f>
        <v/>
      </c>
      <c r="AK17" s="15" t="e">
        <f>IF(AND('Mapa final'!#REF!="Alta",'Mapa final'!#REF!="Catastrófico"),CONCATENATE("R2C",'Mapa final'!#REF!),"")</f>
        <v>#REF!</v>
      </c>
      <c r="AL17" s="15" t="e">
        <f>IF(AND('Mapa final'!#REF!="Alta",'Mapa final'!#REF!="Catastrófico"),CONCATENATE("R2C",'Mapa final'!#REF!),"")</f>
        <v>#REF!</v>
      </c>
      <c r="AM17" s="16" t="e">
        <f>IF(AND('Mapa final'!#REF!="Alta",'Mapa final'!#REF!="Catastrófico"),CONCATENATE("R2C",'Mapa final'!#REF!),"")</f>
        <v>#REF!</v>
      </c>
      <c r="AN17" s="42"/>
      <c r="AO17" s="349"/>
      <c r="AP17" s="350"/>
      <c r="AQ17" s="350"/>
      <c r="AR17" s="350"/>
      <c r="AS17" s="350"/>
      <c r="AT17" s="351"/>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row>
    <row r="18" spans="1:76" ht="15" customHeight="1" x14ac:dyDescent="0.3">
      <c r="A18" s="42"/>
      <c r="B18" s="298"/>
      <c r="C18" s="298"/>
      <c r="D18" s="299"/>
      <c r="E18" s="339"/>
      <c r="F18" s="340"/>
      <c r="G18" s="340"/>
      <c r="H18" s="340"/>
      <c r="I18" s="340"/>
      <c r="J18" s="26" t="str">
        <f>IF(AND('Mapa final'!$Z$20="Alta",'Mapa final'!$AB$20="Leve"),CONCATENATE("R3C",'Mapa final'!$P$20),"")</f>
        <v/>
      </c>
      <c r="K18" s="27" t="str">
        <f>IF(AND('Mapa final'!$Z$21="Alta",'Mapa final'!$AB$21="Leve"),CONCATENATE("R3C",'Mapa final'!$P$21),"")</f>
        <v/>
      </c>
      <c r="L18" s="27" t="str">
        <f>IF(AND('Mapa final'!$Z$22="Alta",'Mapa final'!$AB$22="Leve"),CONCATENATE("R3C",'Mapa final'!$P$22),"")</f>
        <v/>
      </c>
      <c r="M18" s="27" t="str">
        <f>IF(AND('Mapa final'!$Z$23="Alta",'Mapa final'!$AB$23="Leve"),CONCATENATE("R3C",'Mapa final'!$P$23),"")</f>
        <v/>
      </c>
      <c r="N18" s="27" t="str">
        <f>IF(AND('Mapa final'!$Z$24="Alta",'Mapa final'!$AB$24="Leve"),CONCATENATE("R3C",'Mapa final'!$P$24),"")</f>
        <v/>
      </c>
      <c r="O18" s="28" t="str">
        <f>IF(AND('Mapa final'!$Z$25="Alta",'Mapa final'!$AB$25="Leve"),CONCATENATE("R3C",'Mapa final'!$P$25),"")</f>
        <v/>
      </c>
      <c r="P18" s="26" t="str">
        <f>IF(AND('Mapa final'!$Z$20="Alta",'Mapa final'!$AB$20="Menor"),CONCATENATE("R3C",'Mapa final'!$P$20),"")</f>
        <v/>
      </c>
      <c r="Q18" s="27" t="str">
        <f>IF(AND('Mapa final'!$Z$21="Alta",'Mapa final'!$AB$21="Menor"),CONCATENATE("R3C",'Mapa final'!$P$21),"")</f>
        <v/>
      </c>
      <c r="R18" s="27" t="str">
        <f>IF(AND('Mapa final'!$Z$22="Alta",'Mapa final'!$AB$22="Menor"),CONCATENATE("R3C",'Mapa final'!$P$22),"")</f>
        <v/>
      </c>
      <c r="S18" s="27" t="str">
        <f>IF(AND('Mapa final'!$Z$23="Alta",'Mapa final'!$AB$23="Menor"),CONCATENATE("R3C",'Mapa final'!$P$23),"")</f>
        <v/>
      </c>
      <c r="T18" s="27" t="str">
        <f>IF(AND('Mapa final'!$Z$24="Alta",'Mapa final'!$AB$24="Menor"),CONCATENATE("R3C",'Mapa final'!$P$24),"")</f>
        <v/>
      </c>
      <c r="U18" s="28" t="str">
        <f>IF(AND('Mapa final'!$Z$25="Alta",'Mapa final'!$AB$25="Menor"),CONCATENATE("R3C",'Mapa final'!$P$25),"")</f>
        <v/>
      </c>
      <c r="V18" s="11" t="str">
        <f>IF(AND('Mapa final'!$Z$20="Alta",'Mapa final'!$AB$20="Moderado"),CONCATENATE("R3C",'Mapa final'!$P$20),"")</f>
        <v/>
      </c>
      <c r="W18" s="12" t="str">
        <f>IF(AND('Mapa final'!$Z$21="Alta",'Mapa final'!$AB$21="Moderado"),CONCATENATE("R3C",'Mapa final'!$P$21),"")</f>
        <v/>
      </c>
      <c r="X18" s="12" t="str">
        <f>IF(AND('Mapa final'!$Z$22="Alta",'Mapa final'!$AB$22="Moderado"),CONCATENATE("R3C",'Mapa final'!$P$22),"")</f>
        <v/>
      </c>
      <c r="Y18" s="12" t="str">
        <f>IF(AND('Mapa final'!$Z$23="Alta",'Mapa final'!$AB$23="Moderado"),CONCATENATE("R3C",'Mapa final'!$P$23),"")</f>
        <v/>
      </c>
      <c r="Z18" s="12" t="str">
        <f>IF(AND('Mapa final'!$Z$24="Alta",'Mapa final'!$AB$24="Moderado"),CONCATENATE("R3C",'Mapa final'!$P$24),"")</f>
        <v/>
      </c>
      <c r="AA18" s="13" t="str">
        <f>IF(AND('Mapa final'!$Z$25="Alta",'Mapa final'!$AB$25="Moderado"),CONCATENATE("R3C",'Mapa final'!$P$25),"")</f>
        <v/>
      </c>
      <c r="AB18" s="11" t="str">
        <f>IF(AND('Mapa final'!$Z$20="Alta",'Mapa final'!$AB$20="Mayor"),CONCATENATE("R3C",'Mapa final'!$P$20),"")</f>
        <v/>
      </c>
      <c r="AC18" s="12" t="str">
        <f>IF(AND('Mapa final'!$Z$21="Alta",'Mapa final'!$AB$21="Mayor"),CONCATENATE("R3C",'Mapa final'!$P$21),"")</f>
        <v/>
      </c>
      <c r="AD18" s="12" t="str">
        <f>IF(AND('Mapa final'!$Z$22="Alta",'Mapa final'!$AB$22="Mayor"),CONCATENATE("R3C",'Mapa final'!$P$22),"")</f>
        <v/>
      </c>
      <c r="AE18" s="12" t="str">
        <f>IF(AND('Mapa final'!$Z$23="Alta",'Mapa final'!$AB$23="Mayor"),CONCATENATE("R3C",'Mapa final'!$P$23),"")</f>
        <v/>
      </c>
      <c r="AF18" s="12" t="str">
        <f>IF(AND('Mapa final'!$Z$24="Alta",'Mapa final'!$AB$24="Mayor"),CONCATENATE("R3C",'Mapa final'!$P$24),"")</f>
        <v/>
      </c>
      <c r="AG18" s="13" t="str">
        <f>IF(AND('Mapa final'!$Z$25="Alta",'Mapa final'!$AB$25="Mayor"),CONCATENATE("R3C",'Mapa final'!$P$25),"")</f>
        <v/>
      </c>
      <c r="AH18" s="14" t="str">
        <f>IF(AND('Mapa final'!$Z$20="Alta",'Mapa final'!$AB$20="Catastrófico"),CONCATENATE("R3C",'Mapa final'!$P$20),"")</f>
        <v/>
      </c>
      <c r="AI18" s="15" t="str">
        <f>IF(AND('Mapa final'!$Z$21="Alta",'Mapa final'!$AB$21="Catastrófico"),CONCATENATE("R3C",'Mapa final'!$P$21),"")</f>
        <v/>
      </c>
      <c r="AJ18" s="15" t="str">
        <f>IF(AND('Mapa final'!$Z$22="Alta",'Mapa final'!$AB$22="Catastrófico"),CONCATENATE("R3C",'Mapa final'!$P$22),"")</f>
        <v/>
      </c>
      <c r="AK18" s="15" t="str">
        <f>IF(AND('Mapa final'!$Z$23="Alta",'Mapa final'!$AB$23="Catastrófico"),CONCATENATE("R3C",'Mapa final'!$P$23),"")</f>
        <v/>
      </c>
      <c r="AL18" s="15" t="str">
        <f>IF(AND('Mapa final'!$Z$24="Alta",'Mapa final'!$AB$24="Catastrófico"),CONCATENATE("R3C",'Mapa final'!$P$24),"")</f>
        <v/>
      </c>
      <c r="AM18" s="16" t="str">
        <f>IF(AND('Mapa final'!$Z$25="Alta",'Mapa final'!$AB$25="Catastrófico"),CONCATENATE("R3C",'Mapa final'!$P$25),"")</f>
        <v/>
      </c>
      <c r="AN18" s="42"/>
      <c r="AO18" s="349"/>
      <c r="AP18" s="350"/>
      <c r="AQ18" s="350"/>
      <c r="AR18" s="350"/>
      <c r="AS18" s="350"/>
      <c r="AT18" s="351"/>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row>
    <row r="19" spans="1:76" ht="15" customHeight="1" x14ac:dyDescent="0.3">
      <c r="A19" s="42"/>
      <c r="B19" s="298"/>
      <c r="C19" s="298"/>
      <c r="D19" s="299"/>
      <c r="E19" s="339"/>
      <c r="F19" s="340"/>
      <c r="G19" s="340"/>
      <c r="H19" s="340"/>
      <c r="I19" s="340"/>
      <c r="J19" s="26" t="str">
        <f>IF(AND('Mapa final'!$Z$26="Alta",'Mapa final'!$AB$26="Leve"),CONCATENATE("R4C",'Mapa final'!$P$26),"")</f>
        <v/>
      </c>
      <c r="K19" s="27" t="str">
        <f>IF(AND('Mapa final'!$Z$27="Alta",'Mapa final'!$AB$27="Leve"),CONCATENATE("R4C",'Mapa final'!$P$27),"")</f>
        <v/>
      </c>
      <c r="L19" s="27" t="e">
        <f>IF(AND('Mapa final'!#REF!="Alta",'Mapa final'!#REF!="Leve"),CONCATENATE("R4C",'Mapa final'!#REF!),"")</f>
        <v>#REF!</v>
      </c>
      <c r="M19" s="27" t="e">
        <f>IF(AND('Mapa final'!#REF!="Alta",'Mapa final'!#REF!="Leve"),CONCATENATE("R4C",'Mapa final'!#REF!),"")</f>
        <v>#REF!</v>
      </c>
      <c r="N19" s="27" t="e">
        <f>IF(AND('Mapa final'!#REF!="Alta",'Mapa final'!#REF!="Leve"),CONCATENATE("R4C",'Mapa final'!#REF!),"")</f>
        <v>#REF!</v>
      </c>
      <c r="O19" s="28" t="e">
        <f>IF(AND('Mapa final'!#REF!="Alta",'Mapa final'!#REF!="Leve"),CONCATENATE("R4C",'Mapa final'!#REF!),"")</f>
        <v>#REF!</v>
      </c>
      <c r="P19" s="26" t="str">
        <f>IF(AND('Mapa final'!$Z$26="Alta",'Mapa final'!$AB$26="Menor"),CONCATENATE("R4C",'Mapa final'!$P$26),"")</f>
        <v/>
      </c>
      <c r="Q19" s="27" t="str">
        <f>IF(AND('Mapa final'!$Z$27="Alta",'Mapa final'!$AB$27="Menor"),CONCATENATE("R4C",'Mapa final'!$P$27),"")</f>
        <v/>
      </c>
      <c r="R19" s="27" t="e">
        <f>IF(AND('Mapa final'!#REF!="Alta",'Mapa final'!#REF!="Menor"),CONCATENATE("R4C",'Mapa final'!#REF!),"")</f>
        <v>#REF!</v>
      </c>
      <c r="S19" s="27" t="e">
        <f>IF(AND('Mapa final'!#REF!="Alta",'Mapa final'!#REF!="Menor"),CONCATENATE("R4C",'Mapa final'!#REF!),"")</f>
        <v>#REF!</v>
      </c>
      <c r="T19" s="27" t="e">
        <f>IF(AND('Mapa final'!#REF!="Alta",'Mapa final'!#REF!="Menor"),CONCATENATE("R4C",'Mapa final'!#REF!),"")</f>
        <v>#REF!</v>
      </c>
      <c r="U19" s="28" t="e">
        <f>IF(AND('Mapa final'!#REF!="Alta",'Mapa final'!#REF!="Menor"),CONCATENATE("R4C",'Mapa final'!#REF!),"")</f>
        <v>#REF!</v>
      </c>
      <c r="V19" s="11" t="str">
        <f>IF(AND('Mapa final'!$Z$26="Alta",'Mapa final'!$AB$26="Moderado"),CONCATENATE("R4C",'Mapa final'!$P$26),"")</f>
        <v/>
      </c>
      <c r="W19" s="12" t="str">
        <f>IF(AND('Mapa final'!$Z$27="Alta",'Mapa final'!$AB$27="Moderado"),CONCATENATE("R4C",'Mapa final'!$P$27),"")</f>
        <v/>
      </c>
      <c r="X19" s="12" t="e">
        <f>IF(AND('Mapa final'!#REF!="Alta",'Mapa final'!#REF!="Moderado"),CONCATENATE("R4C",'Mapa final'!#REF!),"")</f>
        <v>#REF!</v>
      </c>
      <c r="Y19" s="12" t="e">
        <f>IF(AND('Mapa final'!#REF!="Alta",'Mapa final'!#REF!="Moderado"),CONCATENATE("R4C",'Mapa final'!#REF!),"")</f>
        <v>#REF!</v>
      </c>
      <c r="Z19" s="12" t="e">
        <f>IF(AND('Mapa final'!#REF!="Alta",'Mapa final'!#REF!="Moderado"),CONCATENATE("R4C",'Mapa final'!#REF!),"")</f>
        <v>#REF!</v>
      </c>
      <c r="AA19" s="13" t="e">
        <f>IF(AND('Mapa final'!#REF!="Alta",'Mapa final'!#REF!="Moderado"),CONCATENATE("R4C",'Mapa final'!#REF!),"")</f>
        <v>#REF!</v>
      </c>
      <c r="AB19" s="11" t="str">
        <f>IF(AND('Mapa final'!$Z$26="Alta",'Mapa final'!$AB$26="Mayor"),CONCATENATE("R4C",'Mapa final'!$P$26),"")</f>
        <v/>
      </c>
      <c r="AC19" s="12" t="str">
        <f>IF(AND('Mapa final'!$Z$27="Alta",'Mapa final'!$AB$27="Mayor"),CONCATENATE("R4C",'Mapa final'!$P$27),"")</f>
        <v/>
      </c>
      <c r="AD19" s="12" t="e">
        <f>IF(AND('Mapa final'!#REF!="Alta",'Mapa final'!#REF!="Mayor"),CONCATENATE("R4C",'Mapa final'!#REF!),"")</f>
        <v>#REF!</v>
      </c>
      <c r="AE19" s="12" t="e">
        <f>IF(AND('Mapa final'!#REF!="Alta",'Mapa final'!#REF!="Mayor"),CONCATENATE("R4C",'Mapa final'!#REF!),"")</f>
        <v>#REF!</v>
      </c>
      <c r="AF19" s="12" t="e">
        <f>IF(AND('Mapa final'!#REF!="Alta",'Mapa final'!#REF!="Mayor"),CONCATENATE("R4C",'Mapa final'!#REF!),"")</f>
        <v>#REF!</v>
      </c>
      <c r="AG19" s="13" t="e">
        <f>IF(AND('Mapa final'!#REF!="Alta",'Mapa final'!#REF!="Mayor"),CONCATENATE("R4C",'Mapa final'!#REF!),"")</f>
        <v>#REF!</v>
      </c>
      <c r="AH19" s="14" t="str">
        <f>IF(AND('Mapa final'!$Z$26="Alta",'Mapa final'!$AB$26="Catastrófico"),CONCATENATE("R4C",'Mapa final'!$P$26),"")</f>
        <v/>
      </c>
      <c r="AI19" s="15" t="str">
        <f>IF(AND('Mapa final'!$Z$27="Alta",'Mapa final'!$AB$27="Catastrófico"),CONCATENATE("R4C",'Mapa final'!$P$27),"")</f>
        <v/>
      </c>
      <c r="AJ19" s="15" t="e">
        <f>IF(AND('Mapa final'!#REF!="Alta",'Mapa final'!#REF!="Catastrófico"),CONCATENATE("R4C",'Mapa final'!#REF!),"")</f>
        <v>#REF!</v>
      </c>
      <c r="AK19" s="15" t="e">
        <f>IF(AND('Mapa final'!#REF!="Alta",'Mapa final'!#REF!="Catastrófico"),CONCATENATE("R4C",'Mapa final'!#REF!),"")</f>
        <v>#REF!</v>
      </c>
      <c r="AL19" s="15" t="e">
        <f>IF(AND('Mapa final'!#REF!="Alta",'Mapa final'!#REF!="Catastrófico"),CONCATENATE("R4C",'Mapa final'!#REF!),"")</f>
        <v>#REF!</v>
      </c>
      <c r="AM19" s="16" t="e">
        <f>IF(AND('Mapa final'!#REF!="Alta",'Mapa final'!#REF!="Catastrófico"),CONCATENATE("R4C",'Mapa final'!#REF!),"")</f>
        <v>#REF!</v>
      </c>
      <c r="AN19" s="42"/>
      <c r="AO19" s="349"/>
      <c r="AP19" s="350"/>
      <c r="AQ19" s="350"/>
      <c r="AR19" s="350"/>
      <c r="AS19" s="350"/>
      <c r="AT19" s="351"/>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row>
    <row r="20" spans="1:76" ht="15" customHeight="1" x14ac:dyDescent="0.3">
      <c r="A20" s="42"/>
      <c r="B20" s="298"/>
      <c r="C20" s="298"/>
      <c r="D20" s="299"/>
      <c r="E20" s="339"/>
      <c r="F20" s="340"/>
      <c r="G20" s="340"/>
      <c r="H20" s="340"/>
      <c r="I20" s="340"/>
      <c r="J20" s="26" t="e">
        <f>IF(AND('Mapa final'!#REF!="Alta",'Mapa final'!#REF!="Leve"),CONCATENATE("R5C",'Mapa final'!#REF!),"")</f>
        <v>#REF!</v>
      </c>
      <c r="K20" s="27" t="e">
        <f>IF(AND('Mapa final'!#REF!="Alta",'Mapa final'!#REF!="Leve"),CONCATENATE("R5C",'Mapa final'!#REF!),"")</f>
        <v>#REF!</v>
      </c>
      <c r="L20" s="27" t="e">
        <f>IF(AND('Mapa final'!#REF!="Alta",'Mapa final'!#REF!="Leve"),CONCATENATE("R5C",'Mapa final'!#REF!),"")</f>
        <v>#REF!</v>
      </c>
      <c r="M20" s="27" t="e">
        <f>IF(AND('Mapa final'!#REF!="Alta",'Mapa final'!#REF!="Leve"),CONCATENATE("R5C",'Mapa final'!#REF!),"")</f>
        <v>#REF!</v>
      </c>
      <c r="N20" s="27" t="e">
        <f>IF(AND('Mapa final'!#REF!="Alta",'Mapa final'!#REF!="Leve"),CONCATENATE("R5C",'Mapa final'!#REF!),"")</f>
        <v>#REF!</v>
      </c>
      <c r="O20" s="28" t="e">
        <f>IF(AND('Mapa final'!#REF!="Alta",'Mapa final'!#REF!="Leve"),CONCATENATE("R5C",'Mapa final'!#REF!),"")</f>
        <v>#REF!</v>
      </c>
      <c r="P20" s="26" t="e">
        <f>IF(AND('Mapa final'!#REF!="Alta",'Mapa final'!#REF!="Menor"),CONCATENATE("R5C",'Mapa final'!#REF!),"")</f>
        <v>#REF!</v>
      </c>
      <c r="Q20" s="27" t="e">
        <f>IF(AND('Mapa final'!#REF!="Alta",'Mapa final'!#REF!="Menor"),CONCATENATE("R5C",'Mapa final'!#REF!),"")</f>
        <v>#REF!</v>
      </c>
      <c r="R20" s="27" t="e">
        <f>IF(AND('Mapa final'!#REF!="Alta",'Mapa final'!#REF!="Menor"),CONCATENATE("R5C",'Mapa final'!#REF!),"")</f>
        <v>#REF!</v>
      </c>
      <c r="S20" s="27" t="e">
        <f>IF(AND('Mapa final'!#REF!="Alta",'Mapa final'!#REF!="Menor"),CONCATENATE("R5C",'Mapa final'!#REF!),"")</f>
        <v>#REF!</v>
      </c>
      <c r="T20" s="27" t="e">
        <f>IF(AND('Mapa final'!#REF!="Alta",'Mapa final'!#REF!="Menor"),CONCATENATE("R5C",'Mapa final'!#REF!),"")</f>
        <v>#REF!</v>
      </c>
      <c r="U20" s="28" t="e">
        <f>IF(AND('Mapa final'!#REF!="Alta",'Mapa final'!#REF!="Menor"),CONCATENATE("R5C",'Mapa final'!#REF!),"")</f>
        <v>#REF!</v>
      </c>
      <c r="V20" s="11" t="e">
        <f>IF(AND('Mapa final'!#REF!="Alta",'Mapa final'!#REF!="Moderado"),CONCATENATE("R5C",'Mapa final'!#REF!),"")</f>
        <v>#REF!</v>
      </c>
      <c r="W20" s="12" t="e">
        <f>IF(AND('Mapa final'!#REF!="Alta",'Mapa final'!#REF!="Moderado"),CONCATENATE("R5C",'Mapa final'!#REF!),"")</f>
        <v>#REF!</v>
      </c>
      <c r="X20" s="12" t="e">
        <f>IF(AND('Mapa final'!#REF!="Alta",'Mapa final'!#REF!="Moderado"),CONCATENATE("R5C",'Mapa final'!#REF!),"")</f>
        <v>#REF!</v>
      </c>
      <c r="Y20" s="12" t="e">
        <f>IF(AND('Mapa final'!#REF!="Alta",'Mapa final'!#REF!="Moderado"),CONCATENATE("R5C",'Mapa final'!#REF!),"")</f>
        <v>#REF!</v>
      </c>
      <c r="Z20" s="12" t="e">
        <f>IF(AND('Mapa final'!#REF!="Alta",'Mapa final'!#REF!="Moderado"),CONCATENATE("R5C",'Mapa final'!#REF!),"")</f>
        <v>#REF!</v>
      </c>
      <c r="AA20" s="13" t="e">
        <f>IF(AND('Mapa final'!#REF!="Alta",'Mapa final'!#REF!="Moderado"),CONCATENATE("R5C",'Mapa final'!#REF!),"")</f>
        <v>#REF!</v>
      </c>
      <c r="AB20" s="11" t="e">
        <f>IF(AND('Mapa final'!#REF!="Alta",'Mapa final'!#REF!="Mayor"),CONCATENATE("R5C",'Mapa final'!#REF!),"")</f>
        <v>#REF!</v>
      </c>
      <c r="AC20" s="12" t="e">
        <f>IF(AND('Mapa final'!#REF!="Alta",'Mapa final'!#REF!="Mayor"),CONCATENATE("R5C",'Mapa final'!#REF!),"")</f>
        <v>#REF!</v>
      </c>
      <c r="AD20" s="12" t="e">
        <f>IF(AND('Mapa final'!#REF!="Alta",'Mapa final'!#REF!="Mayor"),CONCATENATE("R5C",'Mapa final'!#REF!),"")</f>
        <v>#REF!</v>
      </c>
      <c r="AE20" s="12" t="e">
        <f>IF(AND('Mapa final'!#REF!="Alta",'Mapa final'!#REF!="Mayor"),CONCATENATE("R5C",'Mapa final'!#REF!),"")</f>
        <v>#REF!</v>
      </c>
      <c r="AF20" s="12" t="e">
        <f>IF(AND('Mapa final'!#REF!="Alta",'Mapa final'!#REF!="Mayor"),CONCATENATE("R5C",'Mapa final'!#REF!),"")</f>
        <v>#REF!</v>
      </c>
      <c r="AG20" s="13" t="e">
        <f>IF(AND('Mapa final'!#REF!="Alta",'Mapa final'!#REF!="Mayor"),CONCATENATE("R5C",'Mapa final'!#REF!),"")</f>
        <v>#REF!</v>
      </c>
      <c r="AH20" s="14" t="e">
        <f>IF(AND('Mapa final'!#REF!="Alta",'Mapa final'!#REF!="Catastrófico"),CONCATENATE("R5C",'Mapa final'!#REF!),"")</f>
        <v>#REF!</v>
      </c>
      <c r="AI20" s="15" t="e">
        <f>IF(AND('Mapa final'!#REF!="Alta",'Mapa final'!#REF!="Catastrófico"),CONCATENATE("R5C",'Mapa final'!#REF!),"")</f>
        <v>#REF!</v>
      </c>
      <c r="AJ20" s="15" t="e">
        <f>IF(AND('Mapa final'!#REF!="Alta",'Mapa final'!#REF!="Catastrófico"),CONCATENATE("R5C",'Mapa final'!#REF!),"")</f>
        <v>#REF!</v>
      </c>
      <c r="AK20" s="15" t="e">
        <f>IF(AND('Mapa final'!#REF!="Alta",'Mapa final'!#REF!="Catastrófico"),CONCATENATE("R5C",'Mapa final'!#REF!),"")</f>
        <v>#REF!</v>
      </c>
      <c r="AL20" s="15" t="e">
        <f>IF(AND('Mapa final'!#REF!="Alta",'Mapa final'!#REF!="Catastrófico"),CONCATENATE("R5C",'Mapa final'!#REF!),"")</f>
        <v>#REF!</v>
      </c>
      <c r="AM20" s="16" t="e">
        <f>IF(AND('Mapa final'!#REF!="Alta",'Mapa final'!#REF!="Catastrófico"),CONCATENATE("R5C",'Mapa final'!#REF!),"")</f>
        <v>#REF!</v>
      </c>
      <c r="AN20" s="42"/>
      <c r="AO20" s="349"/>
      <c r="AP20" s="350"/>
      <c r="AQ20" s="350"/>
      <c r="AR20" s="350"/>
      <c r="AS20" s="350"/>
      <c r="AT20" s="351"/>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row>
    <row r="21" spans="1:76" ht="15" customHeight="1" x14ac:dyDescent="0.3">
      <c r="A21" s="42"/>
      <c r="B21" s="298"/>
      <c r="C21" s="298"/>
      <c r="D21" s="299"/>
      <c r="E21" s="339"/>
      <c r="F21" s="340"/>
      <c r="G21" s="340"/>
      <c r="H21" s="340"/>
      <c r="I21" s="340"/>
      <c r="J21" s="26" t="e">
        <f>IF(AND('Mapa final'!#REF!="Alta",'Mapa final'!#REF!="Leve"),CONCATENATE("R6C",'Mapa final'!#REF!),"")</f>
        <v>#REF!</v>
      </c>
      <c r="K21" s="27" t="e">
        <f>IF(AND('Mapa final'!#REF!="Alta",'Mapa final'!#REF!="Leve"),CONCATENATE("R6C",'Mapa final'!#REF!),"")</f>
        <v>#REF!</v>
      </c>
      <c r="L21" s="27" t="e">
        <f>IF(AND('Mapa final'!#REF!="Alta",'Mapa final'!#REF!="Leve"),CONCATENATE("R6C",'Mapa final'!#REF!),"")</f>
        <v>#REF!</v>
      </c>
      <c r="M21" s="27" t="e">
        <f>IF(AND('Mapa final'!#REF!="Alta",'Mapa final'!#REF!="Leve"),CONCATENATE("R6C",'Mapa final'!#REF!),"")</f>
        <v>#REF!</v>
      </c>
      <c r="N21" s="27" t="e">
        <f>IF(AND('Mapa final'!#REF!="Alta",'Mapa final'!#REF!="Leve"),CONCATENATE("R6C",'Mapa final'!#REF!),"")</f>
        <v>#REF!</v>
      </c>
      <c r="O21" s="28" t="e">
        <f>IF(AND('Mapa final'!#REF!="Alta",'Mapa final'!#REF!="Leve"),CONCATENATE("R6C",'Mapa final'!#REF!),"")</f>
        <v>#REF!</v>
      </c>
      <c r="P21" s="26" t="e">
        <f>IF(AND('Mapa final'!#REF!="Alta",'Mapa final'!#REF!="Menor"),CONCATENATE("R6C",'Mapa final'!#REF!),"")</f>
        <v>#REF!</v>
      </c>
      <c r="Q21" s="27" t="e">
        <f>IF(AND('Mapa final'!#REF!="Alta",'Mapa final'!#REF!="Menor"),CONCATENATE("R6C",'Mapa final'!#REF!),"")</f>
        <v>#REF!</v>
      </c>
      <c r="R21" s="27" t="e">
        <f>IF(AND('Mapa final'!#REF!="Alta",'Mapa final'!#REF!="Menor"),CONCATENATE("R6C",'Mapa final'!#REF!),"")</f>
        <v>#REF!</v>
      </c>
      <c r="S21" s="27" t="e">
        <f>IF(AND('Mapa final'!#REF!="Alta",'Mapa final'!#REF!="Menor"),CONCATENATE("R6C",'Mapa final'!#REF!),"")</f>
        <v>#REF!</v>
      </c>
      <c r="T21" s="27" t="e">
        <f>IF(AND('Mapa final'!#REF!="Alta",'Mapa final'!#REF!="Menor"),CONCATENATE("R6C",'Mapa final'!#REF!),"")</f>
        <v>#REF!</v>
      </c>
      <c r="U21" s="28" t="e">
        <f>IF(AND('Mapa final'!#REF!="Alta",'Mapa final'!#REF!="Menor"),CONCATENATE("R6C",'Mapa final'!#REF!),"")</f>
        <v>#REF!</v>
      </c>
      <c r="V21" s="11" t="e">
        <f>IF(AND('Mapa final'!#REF!="Alta",'Mapa final'!#REF!="Moderado"),CONCATENATE("R6C",'Mapa final'!#REF!),"")</f>
        <v>#REF!</v>
      </c>
      <c r="W21" s="12" t="e">
        <f>IF(AND('Mapa final'!#REF!="Alta",'Mapa final'!#REF!="Moderado"),CONCATENATE("R6C",'Mapa final'!#REF!),"")</f>
        <v>#REF!</v>
      </c>
      <c r="X21" s="12" t="e">
        <f>IF(AND('Mapa final'!#REF!="Alta",'Mapa final'!#REF!="Moderado"),CONCATENATE("R6C",'Mapa final'!#REF!),"")</f>
        <v>#REF!</v>
      </c>
      <c r="Y21" s="12" t="e">
        <f>IF(AND('Mapa final'!#REF!="Alta",'Mapa final'!#REF!="Moderado"),CONCATENATE("R6C",'Mapa final'!#REF!),"")</f>
        <v>#REF!</v>
      </c>
      <c r="Z21" s="12" t="e">
        <f>IF(AND('Mapa final'!#REF!="Alta",'Mapa final'!#REF!="Moderado"),CONCATENATE("R6C",'Mapa final'!#REF!),"")</f>
        <v>#REF!</v>
      </c>
      <c r="AA21" s="13" t="e">
        <f>IF(AND('Mapa final'!#REF!="Alta",'Mapa final'!#REF!="Moderado"),CONCATENATE("R6C",'Mapa final'!#REF!),"")</f>
        <v>#REF!</v>
      </c>
      <c r="AB21" s="11" t="e">
        <f>IF(AND('Mapa final'!#REF!="Alta",'Mapa final'!#REF!="Mayor"),CONCATENATE("R6C",'Mapa final'!#REF!),"")</f>
        <v>#REF!</v>
      </c>
      <c r="AC21" s="12" t="e">
        <f>IF(AND('Mapa final'!#REF!="Alta",'Mapa final'!#REF!="Mayor"),CONCATENATE("R6C",'Mapa final'!#REF!),"")</f>
        <v>#REF!</v>
      </c>
      <c r="AD21" s="12" t="e">
        <f>IF(AND('Mapa final'!#REF!="Alta",'Mapa final'!#REF!="Mayor"),CONCATENATE("R6C",'Mapa final'!#REF!),"")</f>
        <v>#REF!</v>
      </c>
      <c r="AE21" s="12" t="e">
        <f>IF(AND('Mapa final'!#REF!="Alta",'Mapa final'!#REF!="Mayor"),CONCATENATE("R6C",'Mapa final'!#REF!),"")</f>
        <v>#REF!</v>
      </c>
      <c r="AF21" s="12" t="e">
        <f>IF(AND('Mapa final'!#REF!="Alta",'Mapa final'!#REF!="Mayor"),CONCATENATE("R6C",'Mapa final'!#REF!),"")</f>
        <v>#REF!</v>
      </c>
      <c r="AG21" s="13" t="e">
        <f>IF(AND('Mapa final'!#REF!="Alta",'Mapa final'!#REF!="Mayor"),CONCATENATE("R6C",'Mapa final'!#REF!),"")</f>
        <v>#REF!</v>
      </c>
      <c r="AH21" s="14" t="e">
        <f>IF(AND('Mapa final'!#REF!="Alta",'Mapa final'!#REF!="Catastrófico"),CONCATENATE("R6C",'Mapa final'!#REF!),"")</f>
        <v>#REF!</v>
      </c>
      <c r="AI21" s="15" t="e">
        <f>IF(AND('Mapa final'!#REF!="Alta",'Mapa final'!#REF!="Catastrófico"),CONCATENATE("R6C",'Mapa final'!#REF!),"")</f>
        <v>#REF!</v>
      </c>
      <c r="AJ21" s="15" t="e">
        <f>IF(AND('Mapa final'!#REF!="Alta",'Mapa final'!#REF!="Catastrófico"),CONCATENATE("R6C",'Mapa final'!#REF!),"")</f>
        <v>#REF!</v>
      </c>
      <c r="AK21" s="15" t="e">
        <f>IF(AND('Mapa final'!#REF!="Alta",'Mapa final'!#REF!="Catastrófico"),CONCATENATE("R6C",'Mapa final'!#REF!),"")</f>
        <v>#REF!</v>
      </c>
      <c r="AL21" s="15" t="e">
        <f>IF(AND('Mapa final'!#REF!="Alta",'Mapa final'!#REF!="Catastrófico"),CONCATENATE("R6C",'Mapa final'!#REF!),"")</f>
        <v>#REF!</v>
      </c>
      <c r="AM21" s="16" t="e">
        <f>IF(AND('Mapa final'!#REF!="Alta",'Mapa final'!#REF!="Catastrófico"),CONCATENATE("R6C",'Mapa final'!#REF!),"")</f>
        <v>#REF!</v>
      </c>
      <c r="AN21" s="42"/>
      <c r="AO21" s="349"/>
      <c r="AP21" s="350"/>
      <c r="AQ21" s="350"/>
      <c r="AR21" s="350"/>
      <c r="AS21" s="350"/>
      <c r="AT21" s="351"/>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row>
    <row r="22" spans="1:76" ht="15" customHeight="1" x14ac:dyDescent="0.3">
      <c r="A22" s="42"/>
      <c r="B22" s="298"/>
      <c r="C22" s="298"/>
      <c r="D22" s="299"/>
      <c r="E22" s="339"/>
      <c r="F22" s="340"/>
      <c r="G22" s="340"/>
      <c r="H22" s="340"/>
      <c r="I22" s="340"/>
      <c r="J22" s="26" t="e">
        <f>IF(AND('Mapa final'!#REF!="Alta",'Mapa final'!#REF!="Leve"),CONCATENATE("R7C",'Mapa final'!#REF!),"")</f>
        <v>#REF!</v>
      </c>
      <c r="K22" s="27" t="e">
        <f>IF(AND('Mapa final'!#REF!="Alta",'Mapa final'!#REF!="Leve"),CONCATENATE("R7C",'Mapa final'!#REF!),"")</f>
        <v>#REF!</v>
      </c>
      <c r="L22" s="27" t="e">
        <f>IF(AND('Mapa final'!#REF!="Alta",'Mapa final'!#REF!="Leve"),CONCATENATE("R7C",'Mapa final'!#REF!),"")</f>
        <v>#REF!</v>
      </c>
      <c r="M22" s="27" t="e">
        <f>IF(AND('Mapa final'!#REF!="Alta",'Mapa final'!#REF!="Leve"),CONCATENATE("R7C",'Mapa final'!#REF!),"")</f>
        <v>#REF!</v>
      </c>
      <c r="N22" s="27" t="e">
        <f>IF(AND('Mapa final'!#REF!="Alta",'Mapa final'!#REF!="Leve"),CONCATENATE("R7C",'Mapa final'!#REF!),"")</f>
        <v>#REF!</v>
      </c>
      <c r="O22" s="28" t="e">
        <f>IF(AND('Mapa final'!#REF!="Alta",'Mapa final'!#REF!="Leve"),CONCATENATE("R7C",'Mapa final'!#REF!),"")</f>
        <v>#REF!</v>
      </c>
      <c r="P22" s="26" t="e">
        <f>IF(AND('Mapa final'!#REF!="Alta",'Mapa final'!#REF!="Menor"),CONCATENATE("R7C",'Mapa final'!#REF!),"")</f>
        <v>#REF!</v>
      </c>
      <c r="Q22" s="27" t="e">
        <f>IF(AND('Mapa final'!#REF!="Alta",'Mapa final'!#REF!="Menor"),CONCATENATE("R7C",'Mapa final'!#REF!),"")</f>
        <v>#REF!</v>
      </c>
      <c r="R22" s="27" t="e">
        <f>IF(AND('Mapa final'!#REF!="Alta",'Mapa final'!#REF!="Menor"),CONCATENATE("R7C",'Mapa final'!#REF!),"")</f>
        <v>#REF!</v>
      </c>
      <c r="S22" s="27" t="e">
        <f>IF(AND('Mapa final'!#REF!="Alta",'Mapa final'!#REF!="Menor"),CONCATENATE("R7C",'Mapa final'!#REF!),"")</f>
        <v>#REF!</v>
      </c>
      <c r="T22" s="27" t="e">
        <f>IF(AND('Mapa final'!#REF!="Alta",'Mapa final'!#REF!="Menor"),CONCATENATE("R7C",'Mapa final'!#REF!),"")</f>
        <v>#REF!</v>
      </c>
      <c r="U22" s="28" t="e">
        <f>IF(AND('Mapa final'!#REF!="Alta",'Mapa final'!#REF!="Menor"),CONCATENATE("R7C",'Mapa final'!#REF!),"")</f>
        <v>#REF!</v>
      </c>
      <c r="V22" s="11" t="e">
        <f>IF(AND('Mapa final'!#REF!="Alta",'Mapa final'!#REF!="Moderado"),CONCATENATE("R7C",'Mapa final'!#REF!),"")</f>
        <v>#REF!</v>
      </c>
      <c r="W22" s="12" t="e">
        <f>IF(AND('Mapa final'!#REF!="Alta",'Mapa final'!#REF!="Moderado"),CONCATENATE("R7C",'Mapa final'!#REF!),"")</f>
        <v>#REF!</v>
      </c>
      <c r="X22" s="12" t="e">
        <f>IF(AND('Mapa final'!#REF!="Alta",'Mapa final'!#REF!="Moderado"),CONCATENATE("R7C",'Mapa final'!#REF!),"")</f>
        <v>#REF!</v>
      </c>
      <c r="Y22" s="12" t="e">
        <f>IF(AND('Mapa final'!#REF!="Alta",'Mapa final'!#REF!="Moderado"),CONCATENATE("R7C",'Mapa final'!#REF!),"")</f>
        <v>#REF!</v>
      </c>
      <c r="Z22" s="12" t="e">
        <f>IF(AND('Mapa final'!#REF!="Alta",'Mapa final'!#REF!="Moderado"),CONCATENATE("R7C",'Mapa final'!#REF!),"")</f>
        <v>#REF!</v>
      </c>
      <c r="AA22" s="13" t="e">
        <f>IF(AND('Mapa final'!#REF!="Alta",'Mapa final'!#REF!="Moderado"),CONCATENATE("R7C",'Mapa final'!#REF!),"")</f>
        <v>#REF!</v>
      </c>
      <c r="AB22" s="11" t="e">
        <f>IF(AND('Mapa final'!#REF!="Alta",'Mapa final'!#REF!="Mayor"),CONCATENATE("R7C",'Mapa final'!#REF!),"")</f>
        <v>#REF!</v>
      </c>
      <c r="AC22" s="12" t="e">
        <f>IF(AND('Mapa final'!#REF!="Alta",'Mapa final'!#REF!="Mayor"),CONCATENATE("R7C",'Mapa final'!#REF!),"")</f>
        <v>#REF!</v>
      </c>
      <c r="AD22" s="12" t="e">
        <f>IF(AND('Mapa final'!#REF!="Alta",'Mapa final'!#REF!="Mayor"),CONCATENATE("R7C",'Mapa final'!#REF!),"")</f>
        <v>#REF!</v>
      </c>
      <c r="AE22" s="12" t="e">
        <f>IF(AND('Mapa final'!#REF!="Alta",'Mapa final'!#REF!="Mayor"),CONCATENATE("R7C",'Mapa final'!#REF!),"")</f>
        <v>#REF!</v>
      </c>
      <c r="AF22" s="12" t="e">
        <f>IF(AND('Mapa final'!#REF!="Alta",'Mapa final'!#REF!="Mayor"),CONCATENATE("R7C",'Mapa final'!#REF!),"")</f>
        <v>#REF!</v>
      </c>
      <c r="AG22" s="13" t="e">
        <f>IF(AND('Mapa final'!#REF!="Alta",'Mapa final'!#REF!="Mayor"),CONCATENATE("R7C",'Mapa final'!#REF!),"")</f>
        <v>#REF!</v>
      </c>
      <c r="AH22" s="14" t="e">
        <f>IF(AND('Mapa final'!#REF!="Alta",'Mapa final'!#REF!="Catastrófico"),CONCATENATE("R7C",'Mapa final'!#REF!),"")</f>
        <v>#REF!</v>
      </c>
      <c r="AI22" s="15" t="e">
        <f>IF(AND('Mapa final'!#REF!="Alta",'Mapa final'!#REF!="Catastrófico"),CONCATENATE("R7C",'Mapa final'!#REF!),"")</f>
        <v>#REF!</v>
      </c>
      <c r="AJ22" s="15" t="e">
        <f>IF(AND('Mapa final'!#REF!="Alta",'Mapa final'!#REF!="Catastrófico"),CONCATENATE("R7C",'Mapa final'!#REF!),"")</f>
        <v>#REF!</v>
      </c>
      <c r="AK22" s="15" t="e">
        <f>IF(AND('Mapa final'!#REF!="Alta",'Mapa final'!#REF!="Catastrófico"),CONCATENATE("R7C",'Mapa final'!#REF!),"")</f>
        <v>#REF!</v>
      </c>
      <c r="AL22" s="15" t="e">
        <f>IF(AND('Mapa final'!#REF!="Alta",'Mapa final'!#REF!="Catastrófico"),CONCATENATE("R7C",'Mapa final'!#REF!),"")</f>
        <v>#REF!</v>
      </c>
      <c r="AM22" s="16" t="e">
        <f>IF(AND('Mapa final'!#REF!="Alta",'Mapa final'!#REF!="Catastrófico"),CONCATENATE("R7C",'Mapa final'!#REF!),"")</f>
        <v>#REF!</v>
      </c>
      <c r="AN22" s="42"/>
      <c r="AO22" s="349"/>
      <c r="AP22" s="350"/>
      <c r="AQ22" s="350"/>
      <c r="AR22" s="350"/>
      <c r="AS22" s="350"/>
      <c r="AT22" s="351"/>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row>
    <row r="23" spans="1:76" ht="15" customHeight="1" x14ac:dyDescent="0.3">
      <c r="A23" s="42"/>
      <c r="B23" s="298"/>
      <c r="C23" s="298"/>
      <c r="D23" s="299"/>
      <c r="E23" s="339"/>
      <c r="F23" s="340"/>
      <c r="G23" s="340"/>
      <c r="H23" s="340"/>
      <c r="I23" s="340"/>
      <c r="J23" s="26" t="e">
        <f>IF(AND('Mapa final'!#REF!="Alta",'Mapa final'!#REF!="Leve"),CONCATENATE("R8C",'Mapa final'!#REF!),"")</f>
        <v>#REF!</v>
      </c>
      <c r="K23" s="27" t="e">
        <f>IF(AND('Mapa final'!#REF!="Alta",'Mapa final'!#REF!="Leve"),CONCATENATE("R8C",'Mapa final'!#REF!),"")</f>
        <v>#REF!</v>
      </c>
      <c r="L23" s="27" t="e">
        <f>IF(AND('Mapa final'!#REF!="Alta",'Mapa final'!#REF!="Leve"),CONCATENATE("R8C",'Mapa final'!#REF!),"")</f>
        <v>#REF!</v>
      </c>
      <c r="M23" s="27" t="e">
        <f>IF(AND('Mapa final'!#REF!="Alta",'Mapa final'!#REF!="Leve"),CONCATENATE("R8C",'Mapa final'!#REF!),"")</f>
        <v>#REF!</v>
      </c>
      <c r="N23" s="27" t="e">
        <f>IF(AND('Mapa final'!#REF!="Alta",'Mapa final'!#REF!="Leve"),CONCATENATE("R8C",'Mapa final'!#REF!),"")</f>
        <v>#REF!</v>
      </c>
      <c r="O23" s="28" t="e">
        <f>IF(AND('Mapa final'!#REF!="Alta",'Mapa final'!#REF!="Leve"),CONCATENATE("R8C",'Mapa final'!#REF!),"")</f>
        <v>#REF!</v>
      </c>
      <c r="P23" s="26" t="e">
        <f>IF(AND('Mapa final'!#REF!="Alta",'Mapa final'!#REF!="Menor"),CONCATENATE("R8C",'Mapa final'!#REF!),"")</f>
        <v>#REF!</v>
      </c>
      <c r="Q23" s="27" t="e">
        <f>IF(AND('Mapa final'!#REF!="Alta",'Mapa final'!#REF!="Menor"),CONCATENATE("R8C",'Mapa final'!#REF!),"")</f>
        <v>#REF!</v>
      </c>
      <c r="R23" s="27" t="e">
        <f>IF(AND('Mapa final'!#REF!="Alta",'Mapa final'!#REF!="Menor"),CONCATENATE("R8C",'Mapa final'!#REF!),"")</f>
        <v>#REF!</v>
      </c>
      <c r="S23" s="27" t="e">
        <f>IF(AND('Mapa final'!#REF!="Alta",'Mapa final'!#REF!="Menor"),CONCATENATE("R8C",'Mapa final'!#REF!),"")</f>
        <v>#REF!</v>
      </c>
      <c r="T23" s="27" t="e">
        <f>IF(AND('Mapa final'!#REF!="Alta",'Mapa final'!#REF!="Menor"),CONCATENATE("R8C",'Mapa final'!#REF!),"")</f>
        <v>#REF!</v>
      </c>
      <c r="U23" s="28" t="e">
        <f>IF(AND('Mapa final'!#REF!="Alta",'Mapa final'!#REF!="Menor"),CONCATENATE("R8C",'Mapa final'!#REF!),"")</f>
        <v>#REF!</v>
      </c>
      <c r="V23" s="11" t="e">
        <f>IF(AND('Mapa final'!#REF!="Alta",'Mapa final'!#REF!="Moderado"),CONCATENATE("R8C",'Mapa final'!#REF!),"")</f>
        <v>#REF!</v>
      </c>
      <c r="W23" s="12" t="e">
        <f>IF(AND('Mapa final'!#REF!="Alta",'Mapa final'!#REF!="Moderado"),CONCATENATE("R8C",'Mapa final'!#REF!),"")</f>
        <v>#REF!</v>
      </c>
      <c r="X23" s="12" t="e">
        <f>IF(AND('Mapa final'!#REF!="Alta",'Mapa final'!#REF!="Moderado"),CONCATENATE("R8C",'Mapa final'!#REF!),"")</f>
        <v>#REF!</v>
      </c>
      <c r="Y23" s="12" t="e">
        <f>IF(AND('Mapa final'!#REF!="Alta",'Mapa final'!#REF!="Moderado"),CONCATENATE("R8C",'Mapa final'!#REF!),"")</f>
        <v>#REF!</v>
      </c>
      <c r="Z23" s="12" t="e">
        <f>IF(AND('Mapa final'!#REF!="Alta",'Mapa final'!#REF!="Moderado"),CONCATENATE("R8C",'Mapa final'!#REF!),"")</f>
        <v>#REF!</v>
      </c>
      <c r="AA23" s="13" t="e">
        <f>IF(AND('Mapa final'!#REF!="Alta",'Mapa final'!#REF!="Moderado"),CONCATENATE("R8C",'Mapa final'!#REF!),"")</f>
        <v>#REF!</v>
      </c>
      <c r="AB23" s="11" t="e">
        <f>IF(AND('Mapa final'!#REF!="Alta",'Mapa final'!#REF!="Mayor"),CONCATENATE("R8C",'Mapa final'!#REF!),"")</f>
        <v>#REF!</v>
      </c>
      <c r="AC23" s="12" t="e">
        <f>IF(AND('Mapa final'!#REF!="Alta",'Mapa final'!#REF!="Mayor"),CONCATENATE("R8C",'Mapa final'!#REF!),"")</f>
        <v>#REF!</v>
      </c>
      <c r="AD23" s="12" t="e">
        <f>IF(AND('Mapa final'!#REF!="Alta",'Mapa final'!#REF!="Mayor"),CONCATENATE("R8C",'Mapa final'!#REF!),"")</f>
        <v>#REF!</v>
      </c>
      <c r="AE23" s="12" t="e">
        <f>IF(AND('Mapa final'!#REF!="Alta",'Mapa final'!#REF!="Mayor"),CONCATENATE("R8C",'Mapa final'!#REF!),"")</f>
        <v>#REF!</v>
      </c>
      <c r="AF23" s="12" t="e">
        <f>IF(AND('Mapa final'!#REF!="Alta",'Mapa final'!#REF!="Mayor"),CONCATENATE("R8C",'Mapa final'!#REF!),"")</f>
        <v>#REF!</v>
      </c>
      <c r="AG23" s="13" t="e">
        <f>IF(AND('Mapa final'!#REF!="Alta",'Mapa final'!#REF!="Mayor"),CONCATENATE("R8C",'Mapa final'!#REF!),"")</f>
        <v>#REF!</v>
      </c>
      <c r="AH23" s="14" t="e">
        <f>IF(AND('Mapa final'!#REF!="Alta",'Mapa final'!#REF!="Catastrófico"),CONCATENATE("R8C",'Mapa final'!#REF!),"")</f>
        <v>#REF!</v>
      </c>
      <c r="AI23" s="15" t="e">
        <f>IF(AND('Mapa final'!#REF!="Alta",'Mapa final'!#REF!="Catastrófico"),CONCATENATE("R8C",'Mapa final'!#REF!),"")</f>
        <v>#REF!</v>
      </c>
      <c r="AJ23" s="15" t="e">
        <f>IF(AND('Mapa final'!#REF!="Alta",'Mapa final'!#REF!="Catastrófico"),CONCATENATE("R8C",'Mapa final'!#REF!),"")</f>
        <v>#REF!</v>
      </c>
      <c r="AK23" s="15" t="e">
        <f>IF(AND('Mapa final'!#REF!="Alta",'Mapa final'!#REF!="Catastrófico"),CONCATENATE("R8C",'Mapa final'!#REF!),"")</f>
        <v>#REF!</v>
      </c>
      <c r="AL23" s="15" t="e">
        <f>IF(AND('Mapa final'!#REF!="Alta",'Mapa final'!#REF!="Catastrófico"),CONCATENATE("R8C",'Mapa final'!#REF!),"")</f>
        <v>#REF!</v>
      </c>
      <c r="AM23" s="16" t="e">
        <f>IF(AND('Mapa final'!#REF!="Alta",'Mapa final'!#REF!="Catastrófico"),CONCATENATE("R8C",'Mapa final'!#REF!),"")</f>
        <v>#REF!</v>
      </c>
      <c r="AN23" s="42"/>
      <c r="AO23" s="349"/>
      <c r="AP23" s="350"/>
      <c r="AQ23" s="350"/>
      <c r="AR23" s="350"/>
      <c r="AS23" s="350"/>
      <c r="AT23" s="351"/>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row>
    <row r="24" spans="1:76" ht="15" customHeight="1" x14ac:dyDescent="0.3">
      <c r="A24" s="42"/>
      <c r="B24" s="298"/>
      <c r="C24" s="298"/>
      <c r="D24" s="299"/>
      <c r="E24" s="339"/>
      <c r="F24" s="340"/>
      <c r="G24" s="340"/>
      <c r="H24" s="340"/>
      <c r="I24" s="340"/>
      <c r="J24" s="26" t="e">
        <f>IF(AND('Mapa final'!#REF!="Alta",'Mapa final'!#REF!="Leve"),CONCATENATE("R9C",'Mapa final'!#REF!),"")</f>
        <v>#REF!</v>
      </c>
      <c r="K24" s="27" t="e">
        <f>IF(AND('Mapa final'!#REF!="Alta",'Mapa final'!#REF!="Leve"),CONCATENATE("R9C",'Mapa final'!#REF!),"")</f>
        <v>#REF!</v>
      </c>
      <c r="L24" s="27" t="e">
        <f>IF(AND('Mapa final'!#REF!="Alta",'Mapa final'!#REF!="Leve"),CONCATENATE("R9C",'Mapa final'!#REF!),"")</f>
        <v>#REF!</v>
      </c>
      <c r="M24" s="27" t="e">
        <f>IF(AND('Mapa final'!#REF!="Alta",'Mapa final'!#REF!="Leve"),CONCATENATE("R9C",'Mapa final'!#REF!),"")</f>
        <v>#REF!</v>
      </c>
      <c r="N24" s="27" t="e">
        <f>IF(AND('Mapa final'!#REF!="Alta",'Mapa final'!#REF!="Leve"),CONCATENATE("R9C",'Mapa final'!#REF!),"")</f>
        <v>#REF!</v>
      </c>
      <c r="O24" s="28" t="e">
        <f>IF(AND('Mapa final'!#REF!="Alta",'Mapa final'!#REF!="Leve"),CONCATENATE("R9C",'Mapa final'!#REF!),"")</f>
        <v>#REF!</v>
      </c>
      <c r="P24" s="26" t="e">
        <f>IF(AND('Mapa final'!#REF!="Alta",'Mapa final'!#REF!="Menor"),CONCATENATE("R9C",'Mapa final'!#REF!),"")</f>
        <v>#REF!</v>
      </c>
      <c r="Q24" s="27" t="e">
        <f>IF(AND('Mapa final'!#REF!="Alta",'Mapa final'!#REF!="Menor"),CONCATENATE("R9C",'Mapa final'!#REF!),"")</f>
        <v>#REF!</v>
      </c>
      <c r="R24" s="27" t="e">
        <f>IF(AND('Mapa final'!#REF!="Alta",'Mapa final'!#REF!="Menor"),CONCATENATE("R9C",'Mapa final'!#REF!),"")</f>
        <v>#REF!</v>
      </c>
      <c r="S24" s="27" t="e">
        <f>IF(AND('Mapa final'!#REF!="Alta",'Mapa final'!#REF!="Menor"),CONCATENATE("R9C",'Mapa final'!#REF!),"")</f>
        <v>#REF!</v>
      </c>
      <c r="T24" s="27" t="e">
        <f>IF(AND('Mapa final'!#REF!="Alta",'Mapa final'!#REF!="Menor"),CONCATENATE("R9C",'Mapa final'!#REF!),"")</f>
        <v>#REF!</v>
      </c>
      <c r="U24" s="28" t="e">
        <f>IF(AND('Mapa final'!#REF!="Alta",'Mapa final'!#REF!="Menor"),CONCATENATE("R9C",'Mapa final'!#REF!),"")</f>
        <v>#REF!</v>
      </c>
      <c r="V24" s="11" t="e">
        <f>IF(AND('Mapa final'!#REF!="Alta",'Mapa final'!#REF!="Moderado"),CONCATENATE("R9C",'Mapa final'!#REF!),"")</f>
        <v>#REF!</v>
      </c>
      <c r="W24" s="12" t="e">
        <f>IF(AND('Mapa final'!#REF!="Alta",'Mapa final'!#REF!="Moderado"),CONCATENATE("R9C",'Mapa final'!#REF!),"")</f>
        <v>#REF!</v>
      </c>
      <c r="X24" s="12" t="e">
        <f>IF(AND('Mapa final'!#REF!="Alta",'Mapa final'!#REF!="Moderado"),CONCATENATE("R9C",'Mapa final'!#REF!),"")</f>
        <v>#REF!</v>
      </c>
      <c r="Y24" s="12" t="e">
        <f>IF(AND('Mapa final'!#REF!="Alta",'Mapa final'!#REF!="Moderado"),CONCATENATE("R9C",'Mapa final'!#REF!),"")</f>
        <v>#REF!</v>
      </c>
      <c r="Z24" s="12" t="e">
        <f>IF(AND('Mapa final'!#REF!="Alta",'Mapa final'!#REF!="Moderado"),CONCATENATE("R9C",'Mapa final'!#REF!),"")</f>
        <v>#REF!</v>
      </c>
      <c r="AA24" s="13" t="e">
        <f>IF(AND('Mapa final'!#REF!="Alta",'Mapa final'!#REF!="Moderado"),CONCATENATE("R9C",'Mapa final'!#REF!),"")</f>
        <v>#REF!</v>
      </c>
      <c r="AB24" s="11" t="e">
        <f>IF(AND('Mapa final'!#REF!="Alta",'Mapa final'!#REF!="Mayor"),CONCATENATE("R9C",'Mapa final'!#REF!),"")</f>
        <v>#REF!</v>
      </c>
      <c r="AC24" s="12" t="e">
        <f>IF(AND('Mapa final'!#REF!="Alta",'Mapa final'!#REF!="Mayor"),CONCATENATE("R9C",'Mapa final'!#REF!),"")</f>
        <v>#REF!</v>
      </c>
      <c r="AD24" s="12" t="e">
        <f>IF(AND('Mapa final'!#REF!="Alta",'Mapa final'!#REF!="Mayor"),CONCATENATE("R9C",'Mapa final'!#REF!),"")</f>
        <v>#REF!</v>
      </c>
      <c r="AE24" s="12" t="e">
        <f>IF(AND('Mapa final'!#REF!="Alta",'Mapa final'!#REF!="Mayor"),CONCATENATE("R9C",'Mapa final'!#REF!),"")</f>
        <v>#REF!</v>
      </c>
      <c r="AF24" s="12" t="e">
        <f>IF(AND('Mapa final'!#REF!="Alta",'Mapa final'!#REF!="Mayor"),CONCATENATE("R9C",'Mapa final'!#REF!),"")</f>
        <v>#REF!</v>
      </c>
      <c r="AG24" s="13" t="e">
        <f>IF(AND('Mapa final'!#REF!="Alta",'Mapa final'!#REF!="Mayor"),CONCATENATE("R9C",'Mapa final'!#REF!),"")</f>
        <v>#REF!</v>
      </c>
      <c r="AH24" s="14" t="e">
        <f>IF(AND('Mapa final'!#REF!="Alta",'Mapa final'!#REF!="Catastrófico"),CONCATENATE("R9C",'Mapa final'!#REF!),"")</f>
        <v>#REF!</v>
      </c>
      <c r="AI24" s="15" t="e">
        <f>IF(AND('Mapa final'!#REF!="Alta",'Mapa final'!#REF!="Catastrófico"),CONCATENATE("R9C",'Mapa final'!#REF!),"")</f>
        <v>#REF!</v>
      </c>
      <c r="AJ24" s="15" t="e">
        <f>IF(AND('Mapa final'!#REF!="Alta",'Mapa final'!#REF!="Catastrófico"),CONCATENATE("R9C",'Mapa final'!#REF!),"")</f>
        <v>#REF!</v>
      </c>
      <c r="AK24" s="15" t="e">
        <f>IF(AND('Mapa final'!#REF!="Alta",'Mapa final'!#REF!="Catastrófico"),CONCATENATE("R9C",'Mapa final'!#REF!),"")</f>
        <v>#REF!</v>
      </c>
      <c r="AL24" s="15" t="e">
        <f>IF(AND('Mapa final'!#REF!="Alta",'Mapa final'!#REF!="Catastrófico"),CONCATENATE("R9C",'Mapa final'!#REF!),"")</f>
        <v>#REF!</v>
      </c>
      <c r="AM24" s="16" t="e">
        <f>IF(AND('Mapa final'!#REF!="Alta",'Mapa final'!#REF!="Catastrófico"),CONCATENATE("R9C",'Mapa final'!#REF!),"")</f>
        <v>#REF!</v>
      </c>
      <c r="AN24" s="42"/>
      <c r="AO24" s="349"/>
      <c r="AP24" s="350"/>
      <c r="AQ24" s="350"/>
      <c r="AR24" s="350"/>
      <c r="AS24" s="350"/>
      <c r="AT24" s="351"/>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row>
    <row r="25" spans="1:76" ht="16.2" customHeight="1" thickBot="1" x14ac:dyDescent="0.35">
      <c r="A25" s="42"/>
      <c r="B25" s="298"/>
      <c r="C25" s="298"/>
      <c r="D25" s="299"/>
      <c r="E25" s="342"/>
      <c r="F25" s="343"/>
      <c r="G25" s="343"/>
      <c r="H25" s="343"/>
      <c r="I25" s="343"/>
      <c r="J25" s="29" t="e">
        <f>IF(AND('Mapa final'!#REF!="Alta",'Mapa final'!#REF!="Leve"),CONCATENATE("R10C",'Mapa final'!#REF!),"")</f>
        <v>#REF!</v>
      </c>
      <c r="K25" s="30" t="e">
        <f>IF(AND('Mapa final'!#REF!="Alta",'Mapa final'!#REF!="Leve"),CONCATENATE("R10C",'Mapa final'!#REF!),"")</f>
        <v>#REF!</v>
      </c>
      <c r="L25" s="30" t="e">
        <f>IF(AND('Mapa final'!#REF!="Alta",'Mapa final'!#REF!="Leve"),CONCATENATE("R10C",'Mapa final'!#REF!),"")</f>
        <v>#REF!</v>
      </c>
      <c r="M25" s="30" t="e">
        <f>IF(AND('Mapa final'!#REF!="Alta",'Mapa final'!#REF!="Leve"),CONCATENATE("R10C",'Mapa final'!#REF!),"")</f>
        <v>#REF!</v>
      </c>
      <c r="N25" s="30" t="e">
        <f>IF(AND('Mapa final'!#REF!="Alta",'Mapa final'!#REF!="Leve"),CONCATENATE("R10C",'Mapa final'!#REF!),"")</f>
        <v>#REF!</v>
      </c>
      <c r="O25" s="31" t="e">
        <f>IF(AND('Mapa final'!#REF!="Alta",'Mapa final'!#REF!="Leve"),CONCATENATE("R10C",'Mapa final'!#REF!),"")</f>
        <v>#REF!</v>
      </c>
      <c r="P25" s="29" t="e">
        <f>IF(AND('Mapa final'!#REF!="Alta",'Mapa final'!#REF!="Menor"),CONCATENATE("R10C",'Mapa final'!#REF!),"")</f>
        <v>#REF!</v>
      </c>
      <c r="Q25" s="30" t="e">
        <f>IF(AND('Mapa final'!#REF!="Alta",'Mapa final'!#REF!="Menor"),CONCATENATE("R10C",'Mapa final'!#REF!),"")</f>
        <v>#REF!</v>
      </c>
      <c r="R25" s="30" t="e">
        <f>IF(AND('Mapa final'!#REF!="Alta",'Mapa final'!#REF!="Menor"),CONCATENATE("R10C",'Mapa final'!#REF!),"")</f>
        <v>#REF!</v>
      </c>
      <c r="S25" s="30" t="e">
        <f>IF(AND('Mapa final'!#REF!="Alta",'Mapa final'!#REF!="Menor"),CONCATENATE("R10C",'Mapa final'!#REF!),"")</f>
        <v>#REF!</v>
      </c>
      <c r="T25" s="30" t="e">
        <f>IF(AND('Mapa final'!#REF!="Alta",'Mapa final'!#REF!="Menor"),CONCATENATE("R10C",'Mapa final'!#REF!),"")</f>
        <v>#REF!</v>
      </c>
      <c r="U25" s="31" t="e">
        <f>IF(AND('Mapa final'!#REF!="Alta",'Mapa final'!#REF!="Menor"),CONCATENATE("R10C",'Mapa final'!#REF!),"")</f>
        <v>#REF!</v>
      </c>
      <c r="V25" s="17" t="e">
        <f>IF(AND('Mapa final'!#REF!="Alta",'Mapa final'!#REF!="Moderado"),CONCATENATE("R10C",'Mapa final'!#REF!),"")</f>
        <v>#REF!</v>
      </c>
      <c r="W25" s="18" t="e">
        <f>IF(AND('Mapa final'!#REF!="Alta",'Mapa final'!#REF!="Moderado"),CONCATENATE("R10C",'Mapa final'!#REF!),"")</f>
        <v>#REF!</v>
      </c>
      <c r="X25" s="18" t="e">
        <f>IF(AND('Mapa final'!#REF!="Alta",'Mapa final'!#REF!="Moderado"),CONCATENATE("R10C",'Mapa final'!#REF!),"")</f>
        <v>#REF!</v>
      </c>
      <c r="Y25" s="18" t="e">
        <f>IF(AND('Mapa final'!#REF!="Alta",'Mapa final'!#REF!="Moderado"),CONCATENATE("R10C",'Mapa final'!#REF!),"")</f>
        <v>#REF!</v>
      </c>
      <c r="Z25" s="18" t="e">
        <f>IF(AND('Mapa final'!#REF!="Alta",'Mapa final'!#REF!="Moderado"),CONCATENATE("R10C",'Mapa final'!#REF!),"")</f>
        <v>#REF!</v>
      </c>
      <c r="AA25" s="19" t="e">
        <f>IF(AND('Mapa final'!#REF!="Alta",'Mapa final'!#REF!="Moderado"),CONCATENATE("R10C",'Mapa final'!#REF!),"")</f>
        <v>#REF!</v>
      </c>
      <c r="AB25" s="17" t="e">
        <f>IF(AND('Mapa final'!#REF!="Alta",'Mapa final'!#REF!="Mayor"),CONCATENATE("R10C",'Mapa final'!#REF!),"")</f>
        <v>#REF!</v>
      </c>
      <c r="AC25" s="18" t="e">
        <f>IF(AND('Mapa final'!#REF!="Alta",'Mapa final'!#REF!="Mayor"),CONCATENATE("R10C",'Mapa final'!#REF!),"")</f>
        <v>#REF!</v>
      </c>
      <c r="AD25" s="18" t="e">
        <f>IF(AND('Mapa final'!#REF!="Alta",'Mapa final'!#REF!="Mayor"),CONCATENATE("R10C",'Mapa final'!#REF!),"")</f>
        <v>#REF!</v>
      </c>
      <c r="AE25" s="18" t="e">
        <f>IF(AND('Mapa final'!#REF!="Alta",'Mapa final'!#REF!="Mayor"),CONCATENATE("R10C",'Mapa final'!#REF!),"")</f>
        <v>#REF!</v>
      </c>
      <c r="AF25" s="18" t="e">
        <f>IF(AND('Mapa final'!#REF!="Alta",'Mapa final'!#REF!="Mayor"),CONCATENATE("R10C",'Mapa final'!#REF!),"")</f>
        <v>#REF!</v>
      </c>
      <c r="AG25" s="19" t="e">
        <f>IF(AND('Mapa final'!#REF!="Alta",'Mapa final'!#REF!="Mayor"),CONCATENATE("R10C",'Mapa final'!#REF!),"")</f>
        <v>#REF!</v>
      </c>
      <c r="AH25" s="20" t="e">
        <f>IF(AND('Mapa final'!#REF!="Alta",'Mapa final'!#REF!="Catastrófico"),CONCATENATE("R10C",'Mapa final'!#REF!),"")</f>
        <v>#REF!</v>
      </c>
      <c r="AI25" s="21" t="e">
        <f>IF(AND('Mapa final'!#REF!="Alta",'Mapa final'!#REF!="Catastrófico"),CONCATENATE("R10C",'Mapa final'!#REF!),"")</f>
        <v>#REF!</v>
      </c>
      <c r="AJ25" s="21" t="e">
        <f>IF(AND('Mapa final'!#REF!="Alta",'Mapa final'!#REF!="Catastrófico"),CONCATENATE("R10C",'Mapa final'!#REF!),"")</f>
        <v>#REF!</v>
      </c>
      <c r="AK25" s="21" t="e">
        <f>IF(AND('Mapa final'!#REF!="Alta",'Mapa final'!#REF!="Catastrófico"),CONCATENATE("R10C",'Mapa final'!#REF!),"")</f>
        <v>#REF!</v>
      </c>
      <c r="AL25" s="21" t="e">
        <f>IF(AND('Mapa final'!#REF!="Alta",'Mapa final'!#REF!="Catastrófico"),CONCATENATE("R10C",'Mapa final'!#REF!),"")</f>
        <v>#REF!</v>
      </c>
      <c r="AM25" s="22" t="e">
        <f>IF(AND('Mapa final'!#REF!="Alta",'Mapa final'!#REF!="Catastrófico"),CONCATENATE("R10C",'Mapa final'!#REF!),"")</f>
        <v>#REF!</v>
      </c>
      <c r="AN25" s="42"/>
      <c r="AO25" s="352"/>
      <c r="AP25" s="353"/>
      <c r="AQ25" s="353"/>
      <c r="AR25" s="353"/>
      <c r="AS25" s="353"/>
      <c r="AT25" s="354"/>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row>
    <row r="26" spans="1:76" ht="15" customHeight="1" x14ac:dyDescent="0.3">
      <c r="A26" s="42"/>
      <c r="B26" s="298"/>
      <c r="C26" s="298"/>
      <c r="D26" s="299"/>
      <c r="E26" s="336" t="s">
        <v>208</v>
      </c>
      <c r="F26" s="337"/>
      <c r="G26" s="337"/>
      <c r="H26" s="337"/>
      <c r="I26" s="338"/>
      <c r="J26" s="23" t="str">
        <f>IF(AND('Mapa final'!$Z$11="Media",'Mapa final'!$AB$11="Leve"),CONCATENATE("R1C",'Mapa final'!$P$11),"")</f>
        <v/>
      </c>
      <c r="K26" s="24" t="str">
        <f>IF(AND('Mapa final'!$Z$12="Media",'Mapa final'!$AB$12="Leve"),CONCATENATE("R1C",'Mapa final'!$P$12),"")</f>
        <v/>
      </c>
      <c r="L26" s="24" t="str">
        <f>IF(AND('Mapa final'!$Z$13="Media",'Mapa final'!$AB$13="Leve"),CONCATENATE("R1C",'Mapa final'!$P$13),"")</f>
        <v/>
      </c>
      <c r="M26" s="24" t="str">
        <f>IF(AND('Mapa final'!$Z$14="Media",'Mapa final'!$AB$14="Leve"),CONCATENATE("R1C",'Mapa final'!$P$14),"")</f>
        <v/>
      </c>
      <c r="N26" s="24" t="str">
        <f>IF(AND('Mapa final'!$Z$15="Media",'Mapa final'!$AB$15="Leve"),CONCATENATE("R1C",'Mapa final'!$P$15),"")</f>
        <v/>
      </c>
      <c r="O26" s="25" t="str">
        <f>IF(AND('Mapa final'!$Z$16="Media",'Mapa final'!$AB$16="Leve"),CONCATENATE("R1C",'Mapa final'!$P$16),"")</f>
        <v/>
      </c>
      <c r="P26" s="23" t="str">
        <f>IF(AND('Mapa final'!$Z$11="Media",'Mapa final'!$AB$11="Menor"),CONCATENATE("R1C",'Mapa final'!$P$11),"")</f>
        <v/>
      </c>
      <c r="Q26" s="24" t="str">
        <f>IF(AND('Mapa final'!$Z$12="Media",'Mapa final'!$AB$12="Menor"),CONCATENATE("R1C",'Mapa final'!$P$12),"")</f>
        <v/>
      </c>
      <c r="R26" s="24" t="str">
        <f>IF(AND('Mapa final'!$Z$13="Media",'Mapa final'!$AB$13="Menor"),CONCATENATE("R1C",'Mapa final'!$P$13),"")</f>
        <v/>
      </c>
      <c r="S26" s="24" t="str">
        <f>IF(AND('Mapa final'!$Z$14="Media",'Mapa final'!$AB$14="Menor"),CONCATENATE("R1C",'Mapa final'!$P$14),"")</f>
        <v/>
      </c>
      <c r="T26" s="24" t="str">
        <f>IF(AND('Mapa final'!$Z$15="Media",'Mapa final'!$AB$15="Menor"),CONCATENATE("R1C",'Mapa final'!$P$15),"")</f>
        <v/>
      </c>
      <c r="U26" s="25" t="str">
        <f>IF(AND('Mapa final'!$Z$16="Media",'Mapa final'!$AB$16="Menor"),CONCATENATE("R1C",'Mapa final'!$P$16),"")</f>
        <v/>
      </c>
      <c r="V26" s="23" t="str">
        <f>IF(AND('Mapa final'!$Z$11="Media",'Mapa final'!$AB$11="Moderado"),CONCATENATE("R1C",'Mapa final'!$P$11),"")</f>
        <v/>
      </c>
      <c r="W26" s="24" t="str">
        <f>IF(AND('Mapa final'!$Z$12="Media",'Mapa final'!$AB$12="Moderado"),CONCATENATE("R1C",'Mapa final'!$P$12),"")</f>
        <v/>
      </c>
      <c r="X26" s="24" t="str">
        <f>IF(AND('Mapa final'!$Z$13="Media",'Mapa final'!$AB$13="Moderado"),CONCATENATE("R1C",'Mapa final'!$P$13),"")</f>
        <v/>
      </c>
      <c r="Y26" s="24" t="str">
        <f>IF(AND('Mapa final'!$Z$14="Media",'Mapa final'!$AB$14="Moderado"),CONCATENATE("R1C",'Mapa final'!$P$14),"")</f>
        <v/>
      </c>
      <c r="Z26" s="24" t="str">
        <f>IF(AND('Mapa final'!$Z$15="Media",'Mapa final'!$AB$15="Moderado"),CONCATENATE("R1C",'Mapa final'!$P$15),"")</f>
        <v/>
      </c>
      <c r="AA26" s="25" t="str">
        <f>IF(AND('Mapa final'!$Z$16="Media",'Mapa final'!$AB$16="Moderado"),CONCATENATE("R1C",'Mapa final'!$P$16),"")</f>
        <v/>
      </c>
      <c r="AB26" s="5" t="str">
        <f>IF(AND('Mapa final'!$Z$11="Media",'Mapa final'!$AB$11="Mayor"),CONCATENATE("R1C",'Mapa final'!$P$11),"")</f>
        <v/>
      </c>
      <c r="AC26" s="6" t="str">
        <f>IF(AND('Mapa final'!$Z$12="Media",'Mapa final'!$AB$12="Mayor"),CONCATENATE("R1C",'Mapa final'!$P$12),"")</f>
        <v/>
      </c>
      <c r="AD26" s="6" t="str">
        <f>IF(AND('Mapa final'!$Z$13="Media",'Mapa final'!$AB$13="Mayor"),CONCATENATE("R1C",'Mapa final'!$P$13),"")</f>
        <v/>
      </c>
      <c r="AE26" s="6" t="str">
        <f>IF(AND('Mapa final'!$Z$14="Media",'Mapa final'!$AB$14="Mayor"),CONCATENATE("R1C",'Mapa final'!$P$14),"")</f>
        <v/>
      </c>
      <c r="AF26" s="6" t="str">
        <f>IF(AND('Mapa final'!$Z$15="Media",'Mapa final'!$AB$15="Mayor"),CONCATENATE("R1C",'Mapa final'!$P$15),"")</f>
        <v/>
      </c>
      <c r="AG26" s="7" t="str">
        <f>IF(AND('Mapa final'!$Z$16="Media",'Mapa final'!$AB$16="Mayor"),CONCATENATE("R1C",'Mapa final'!$P$16),"")</f>
        <v/>
      </c>
      <c r="AH26" s="8" t="str">
        <f>IF(AND('Mapa final'!$Z$11="Media",'Mapa final'!$AB$11="Catastrófico"),CONCATENATE("R1C",'Mapa final'!$P$11),"")</f>
        <v/>
      </c>
      <c r="AI26" s="9" t="str">
        <f>IF(AND('Mapa final'!$Z$12="Media",'Mapa final'!$AB$12="Catastrófico"),CONCATENATE("R1C",'Mapa final'!$P$12),"")</f>
        <v/>
      </c>
      <c r="AJ26" s="9" t="str">
        <f>IF(AND('Mapa final'!$Z$13="Media",'Mapa final'!$AB$13="Catastrófico"),CONCATENATE("R1C",'Mapa final'!$P$13),"")</f>
        <v/>
      </c>
      <c r="AK26" s="9" t="str">
        <f>IF(AND('Mapa final'!$Z$14="Media",'Mapa final'!$AB$14="Catastrófico"),CONCATENATE("R1C",'Mapa final'!$P$14),"")</f>
        <v/>
      </c>
      <c r="AL26" s="9" t="str">
        <f>IF(AND('Mapa final'!$Z$15="Media",'Mapa final'!$AB$15="Catastrófico"),CONCATENATE("R1C",'Mapa final'!$P$15),"")</f>
        <v/>
      </c>
      <c r="AM26" s="10" t="str">
        <f>IF(AND('Mapa final'!$Z$16="Media",'Mapa final'!$AB$16="Catastrófico"),CONCATENATE("R1C",'Mapa final'!$P$16),"")</f>
        <v/>
      </c>
      <c r="AN26" s="42"/>
      <c r="AO26" s="376" t="s">
        <v>209</v>
      </c>
      <c r="AP26" s="377"/>
      <c r="AQ26" s="377"/>
      <c r="AR26" s="377"/>
      <c r="AS26" s="377"/>
      <c r="AT26" s="378"/>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row>
    <row r="27" spans="1:76" ht="15" customHeight="1" x14ac:dyDescent="0.3">
      <c r="A27" s="42"/>
      <c r="B27" s="298"/>
      <c r="C27" s="298"/>
      <c r="D27" s="299"/>
      <c r="E27" s="355"/>
      <c r="F27" s="340"/>
      <c r="G27" s="340"/>
      <c r="H27" s="340"/>
      <c r="I27" s="341"/>
      <c r="J27" s="26" t="str">
        <f>IF(AND('Mapa final'!$Z$17="Media",'Mapa final'!$AB$17="Leve"),CONCATENATE("R2C",'Mapa final'!$P$17),"")</f>
        <v/>
      </c>
      <c r="K27" s="27" t="str">
        <f>IF(AND('Mapa final'!$Z$18="Media",'Mapa final'!$AB$18="Leve"),CONCATENATE("R2C",'Mapa final'!$P$18),"")</f>
        <v/>
      </c>
      <c r="L27" s="27" t="str">
        <f>IF(AND('Mapa final'!$Z$19="Media",'Mapa final'!$AB$19="Leve"),CONCATENATE("R2C",'Mapa final'!$P$19),"")</f>
        <v/>
      </c>
      <c r="M27" s="27" t="e">
        <f>IF(AND('Mapa final'!#REF!="Media",'Mapa final'!#REF!="Leve"),CONCATENATE("R2C",'Mapa final'!#REF!),"")</f>
        <v>#REF!</v>
      </c>
      <c r="N27" s="27" t="e">
        <f>IF(AND('Mapa final'!#REF!="Media",'Mapa final'!#REF!="Leve"),CONCATENATE("R2C",'Mapa final'!#REF!),"")</f>
        <v>#REF!</v>
      </c>
      <c r="O27" s="28" t="e">
        <f>IF(AND('Mapa final'!#REF!="Media",'Mapa final'!#REF!="Leve"),CONCATENATE("R2C",'Mapa final'!#REF!),"")</f>
        <v>#REF!</v>
      </c>
      <c r="P27" s="26" t="str">
        <f>IF(AND('Mapa final'!$Z$17="Media",'Mapa final'!$AB$17="Menor"),CONCATENATE("R2C",'Mapa final'!$P$17),"")</f>
        <v/>
      </c>
      <c r="Q27" s="27" t="str">
        <f>IF(AND('Mapa final'!$Z$18="Media",'Mapa final'!$AB$18="Menor"),CONCATENATE("R2C",'Mapa final'!$P$18),"")</f>
        <v/>
      </c>
      <c r="R27" s="27" t="str">
        <f>IF(AND('Mapa final'!$Z$19="Media",'Mapa final'!$AB$19="Menor"),CONCATENATE("R2C",'Mapa final'!$P$19),"")</f>
        <v/>
      </c>
      <c r="S27" s="27" t="e">
        <f>IF(AND('Mapa final'!#REF!="Media",'Mapa final'!#REF!="Menor"),CONCATENATE("R2C",'Mapa final'!#REF!),"")</f>
        <v>#REF!</v>
      </c>
      <c r="T27" s="27" t="e">
        <f>IF(AND('Mapa final'!#REF!="Media",'Mapa final'!#REF!="Menor"),CONCATENATE("R2C",'Mapa final'!#REF!),"")</f>
        <v>#REF!</v>
      </c>
      <c r="U27" s="28" t="e">
        <f>IF(AND('Mapa final'!#REF!="Media",'Mapa final'!#REF!="Menor"),CONCATENATE("R2C",'Mapa final'!#REF!),"")</f>
        <v>#REF!</v>
      </c>
      <c r="V27" s="26" t="str">
        <f>IF(AND('Mapa final'!$Z$17="Media",'Mapa final'!$AB$17="Moderado"),CONCATENATE("R2C",'Mapa final'!$P$17),"")</f>
        <v/>
      </c>
      <c r="W27" s="27" t="str">
        <f>IF(AND('Mapa final'!$Z$18="Media",'Mapa final'!$AB$18="Moderado"),CONCATENATE("R2C",'Mapa final'!$P$18),"")</f>
        <v/>
      </c>
      <c r="X27" s="27" t="str">
        <f>IF(AND('Mapa final'!$Z$19="Media",'Mapa final'!$AB$19="Moderado"),CONCATENATE("R2C",'Mapa final'!$P$19),"")</f>
        <v/>
      </c>
      <c r="Y27" s="27" t="e">
        <f>IF(AND('Mapa final'!#REF!="Media",'Mapa final'!#REF!="Moderado"),CONCATENATE("R2C",'Mapa final'!#REF!),"")</f>
        <v>#REF!</v>
      </c>
      <c r="Z27" s="27" t="e">
        <f>IF(AND('Mapa final'!#REF!="Media",'Mapa final'!#REF!="Moderado"),CONCATENATE("R2C",'Mapa final'!#REF!),"")</f>
        <v>#REF!</v>
      </c>
      <c r="AA27" s="28" t="e">
        <f>IF(AND('Mapa final'!#REF!="Media",'Mapa final'!#REF!="Moderado"),CONCATENATE("R2C",'Mapa final'!#REF!),"")</f>
        <v>#REF!</v>
      </c>
      <c r="AB27" s="11" t="str">
        <f>IF(AND('Mapa final'!$Z$17="Media",'Mapa final'!$AB$17="Mayor"),CONCATENATE("R2C",'Mapa final'!$P$17),"")</f>
        <v/>
      </c>
      <c r="AC27" s="12" t="str">
        <f>IF(AND('Mapa final'!$Z$18="Media",'Mapa final'!$AB$18="Mayor"),CONCATENATE("R2C",'Mapa final'!$P$18),"")</f>
        <v/>
      </c>
      <c r="AD27" s="12" t="str">
        <f>IF(AND('Mapa final'!$Z$19="Media",'Mapa final'!$AB$19="Mayor"),CONCATENATE("R2C",'Mapa final'!$P$19),"")</f>
        <v/>
      </c>
      <c r="AE27" s="12" t="e">
        <f>IF(AND('Mapa final'!#REF!="Media",'Mapa final'!#REF!="Mayor"),CONCATENATE("R2C",'Mapa final'!#REF!),"")</f>
        <v>#REF!</v>
      </c>
      <c r="AF27" s="12" t="e">
        <f>IF(AND('Mapa final'!#REF!="Media",'Mapa final'!#REF!="Mayor"),CONCATENATE("R2C",'Mapa final'!#REF!),"")</f>
        <v>#REF!</v>
      </c>
      <c r="AG27" s="13" t="e">
        <f>IF(AND('Mapa final'!#REF!="Media",'Mapa final'!#REF!="Mayor"),CONCATENATE("R2C",'Mapa final'!#REF!),"")</f>
        <v>#REF!</v>
      </c>
      <c r="AH27" s="14" t="str">
        <f>IF(AND('Mapa final'!$Z$17="Media",'Mapa final'!$AB$17="Catastrófico"),CONCATENATE("R2C",'Mapa final'!$P$17),"")</f>
        <v/>
      </c>
      <c r="AI27" s="15" t="str">
        <f>IF(AND('Mapa final'!$Z$18="Media",'Mapa final'!$AB$18="Catastrófico"),CONCATENATE("R2C",'Mapa final'!$P$18),"")</f>
        <v/>
      </c>
      <c r="AJ27" s="15" t="str">
        <f>IF(AND('Mapa final'!$Z$19="Media",'Mapa final'!$AB$19="Catastrófico"),CONCATENATE("R2C",'Mapa final'!$P$19),"")</f>
        <v/>
      </c>
      <c r="AK27" s="15" t="e">
        <f>IF(AND('Mapa final'!#REF!="Media",'Mapa final'!#REF!="Catastrófico"),CONCATENATE("R2C",'Mapa final'!#REF!),"")</f>
        <v>#REF!</v>
      </c>
      <c r="AL27" s="15" t="e">
        <f>IF(AND('Mapa final'!#REF!="Media",'Mapa final'!#REF!="Catastrófico"),CONCATENATE("R2C",'Mapa final'!#REF!),"")</f>
        <v>#REF!</v>
      </c>
      <c r="AM27" s="16" t="e">
        <f>IF(AND('Mapa final'!#REF!="Media",'Mapa final'!#REF!="Catastrófico"),CONCATENATE("R2C",'Mapa final'!#REF!),"")</f>
        <v>#REF!</v>
      </c>
      <c r="AN27" s="42"/>
      <c r="AO27" s="379"/>
      <c r="AP27" s="380"/>
      <c r="AQ27" s="380"/>
      <c r="AR27" s="380"/>
      <c r="AS27" s="380"/>
      <c r="AT27" s="381"/>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row>
    <row r="28" spans="1:76" ht="15" customHeight="1" x14ac:dyDescent="0.3">
      <c r="A28" s="42"/>
      <c r="B28" s="298"/>
      <c r="C28" s="298"/>
      <c r="D28" s="299"/>
      <c r="E28" s="339"/>
      <c r="F28" s="340"/>
      <c r="G28" s="340"/>
      <c r="H28" s="340"/>
      <c r="I28" s="341"/>
      <c r="J28" s="26" t="str">
        <f>IF(AND('Mapa final'!$Z$20="Media",'Mapa final'!$AB$20="Leve"),CONCATENATE("R3C",'Mapa final'!$P$20),"")</f>
        <v/>
      </c>
      <c r="K28" s="27" t="str">
        <f>IF(AND('Mapa final'!$Z$21="Media",'Mapa final'!$AB$21="Leve"),CONCATENATE("R3C",'Mapa final'!$P$21),"")</f>
        <v/>
      </c>
      <c r="L28" s="27" t="str">
        <f>IF(AND('Mapa final'!$Z$22="Media",'Mapa final'!$AB$22="Leve"),CONCATENATE("R3C",'Mapa final'!$P$22),"")</f>
        <v/>
      </c>
      <c r="M28" s="27" t="str">
        <f>IF(AND('Mapa final'!$Z$23="Media",'Mapa final'!$AB$23="Leve"),CONCATENATE("R3C",'Mapa final'!$P$23),"")</f>
        <v/>
      </c>
      <c r="N28" s="27" t="str">
        <f>IF(AND('Mapa final'!$Z$24="Media",'Mapa final'!$AB$24="Leve"),CONCATENATE("R3C",'Mapa final'!$P$24),"")</f>
        <v/>
      </c>
      <c r="O28" s="28" t="str">
        <f>IF(AND('Mapa final'!$Z$25="Media",'Mapa final'!$AB$25="Leve"),CONCATENATE("R3C",'Mapa final'!$P$25),"")</f>
        <v/>
      </c>
      <c r="P28" s="26" t="str">
        <f>IF(AND('Mapa final'!$Z$20="Media",'Mapa final'!$AB$20="Menor"),CONCATENATE("R3C",'Mapa final'!$P$20),"")</f>
        <v/>
      </c>
      <c r="Q28" s="27" t="str">
        <f>IF(AND('Mapa final'!$Z$21="Media",'Mapa final'!$AB$21="Menor"),CONCATENATE("R3C",'Mapa final'!$P$21),"")</f>
        <v/>
      </c>
      <c r="R28" s="27" t="str">
        <f>IF(AND('Mapa final'!$Z$22="Media",'Mapa final'!$AB$22="Menor"),CONCATENATE("R3C",'Mapa final'!$P$22),"")</f>
        <v/>
      </c>
      <c r="S28" s="27" t="str">
        <f>IF(AND('Mapa final'!$Z$23="Media",'Mapa final'!$AB$23="Menor"),CONCATENATE("R3C",'Mapa final'!$P$23),"")</f>
        <v/>
      </c>
      <c r="T28" s="27" t="str">
        <f>IF(AND('Mapa final'!$Z$24="Media",'Mapa final'!$AB$24="Menor"),CONCATENATE("R3C",'Mapa final'!$P$24),"")</f>
        <v/>
      </c>
      <c r="U28" s="28" t="str">
        <f>IF(AND('Mapa final'!$Z$25="Media",'Mapa final'!$AB$25="Menor"),CONCATENATE("R3C",'Mapa final'!$P$25),"")</f>
        <v/>
      </c>
      <c r="V28" s="26" t="str">
        <f>IF(AND('Mapa final'!$Z$20="Media",'Mapa final'!$AB$20="Moderado"),CONCATENATE("R3C",'Mapa final'!$P$20),"")</f>
        <v/>
      </c>
      <c r="W28" s="27" t="str">
        <f>IF(AND('Mapa final'!$Z$21="Media",'Mapa final'!$AB$21="Moderado"),CONCATENATE("R3C",'Mapa final'!$P$21),"")</f>
        <v/>
      </c>
      <c r="X28" s="27" t="str">
        <f>IF(AND('Mapa final'!$Z$22="Media",'Mapa final'!$AB$22="Moderado"),CONCATENATE("R3C",'Mapa final'!$P$22),"")</f>
        <v/>
      </c>
      <c r="Y28" s="27" t="str">
        <f>IF(AND('Mapa final'!$Z$23="Media",'Mapa final'!$AB$23="Moderado"),CONCATENATE("R3C",'Mapa final'!$P$23),"")</f>
        <v/>
      </c>
      <c r="Z28" s="27" t="str">
        <f>IF(AND('Mapa final'!$Z$24="Media",'Mapa final'!$AB$24="Moderado"),CONCATENATE("R3C",'Mapa final'!$P$24),"")</f>
        <v/>
      </c>
      <c r="AA28" s="28" t="str">
        <f>IF(AND('Mapa final'!$Z$25="Media",'Mapa final'!$AB$25="Moderado"),CONCATENATE("R3C",'Mapa final'!$P$25),"")</f>
        <v/>
      </c>
      <c r="AB28" s="11" t="str">
        <f>IF(AND('Mapa final'!$Z$20="Media",'Mapa final'!$AB$20="Mayor"),CONCATENATE("R3C",'Mapa final'!$P$20),"")</f>
        <v/>
      </c>
      <c r="AC28" s="12" t="str">
        <f>IF(AND('Mapa final'!$Z$21="Media",'Mapa final'!$AB$21="Mayor"),CONCATENATE("R3C",'Mapa final'!$P$21),"")</f>
        <v/>
      </c>
      <c r="AD28" s="12" t="str">
        <f>IF(AND('Mapa final'!$Z$22="Media",'Mapa final'!$AB$22="Mayor"),CONCATENATE("R3C",'Mapa final'!$P$22),"")</f>
        <v/>
      </c>
      <c r="AE28" s="12" t="str">
        <f>IF(AND('Mapa final'!$Z$23="Media",'Mapa final'!$AB$23="Mayor"),CONCATENATE("R3C",'Mapa final'!$P$23),"")</f>
        <v/>
      </c>
      <c r="AF28" s="12" t="str">
        <f>IF(AND('Mapa final'!$Z$24="Media",'Mapa final'!$AB$24="Mayor"),CONCATENATE("R3C",'Mapa final'!$P$24),"")</f>
        <v/>
      </c>
      <c r="AG28" s="13" t="str">
        <f>IF(AND('Mapa final'!$Z$25="Media",'Mapa final'!$AB$25="Mayor"),CONCATENATE("R3C",'Mapa final'!$P$25),"")</f>
        <v/>
      </c>
      <c r="AH28" s="14" t="str">
        <f>IF(AND('Mapa final'!$Z$20="Media",'Mapa final'!$AB$20="Catastrófico"),CONCATENATE("R3C",'Mapa final'!$P$20),"")</f>
        <v/>
      </c>
      <c r="AI28" s="15" t="str">
        <f>IF(AND('Mapa final'!$Z$21="Media",'Mapa final'!$AB$21="Catastrófico"),CONCATENATE("R3C",'Mapa final'!$P$21),"")</f>
        <v/>
      </c>
      <c r="AJ28" s="15" t="str">
        <f>IF(AND('Mapa final'!$Z$22="Media",'Mapa final'!$AB$22="Catastrófico"),CONCATENATE("R3C",'Mapa final'!$P$22),"")</f>
        <v/>
      </c>
      <c r="AK28" s="15" t="str">
        <f>IF(AND('Mapa final'!$Z$23="Media",'Mapa final'!$AB$23="Catastrófico"),CONCATENATE("R3C",'Mapa final'!$P$23),"")</f>
        <v/>
      </c>
      <c r="AL28" s="15" t="str">
        <f>IF(AND('Mapa final'!$Z$24="Media",'Mapa final'!$AB$24="Catastrófico"),CONCATENATE("R3C",'Mapa final'!$P$24),"")</f>
        <v/>
      </c>
      <c r="AM28" s="16" t="str">
        <f>IF(AND('Mapa final'!$Z$25="Media",'Mapa final'!$AB$25="Catastrófico"),CONCATENATE("R3C",'Mapa final'!$P$25),"")</f>
        <v/>
      </c>
      <c r="AN28" s="42"/>
      <c r="AO28" s="379"/>
      <c r="AP28" s="380"/>
      <c r="AQ28" s="380"/>
      <c r="AR28" s="380"/>
      <c r="AS28" s="380"/>
      <c r="AT28" s="381"/>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row>
    <row r="29" spans="1:76" ht="15" customHeight="1" x14ac:dyDescent="0.3">
      <c r="A29" s="42"/>
      <c r="B29" s="298"/>
      <c r="C29" s="298"/>
      <c r="D29" s="299"/>
      <c r="E29" s="339"/>
      <c r="F29" s="340"/>
      <c r="G29" s="340"/>
      <c r="H29" s="340"/>
      <c r="I29" s="341"/>
      <c r="J29" s="26" t="str">
        <f>IF(AND('Mapa final'!$Z$26="Media",'Mapa final'!$AB$26="Leve"),CONCATENATE("R4C",'Mapa final'!$P$26),"")</f>
        <v/>
      </c>
      <c r="K29" s="27" t="str">
        <f>IF(AND('Mapa final'!$Z$27="Media",'Mapa final'!$AB$27="Leve"),CONCATENATE("R4C",'Mapa final'!$P$27),"")</f>
        <v/>
      </c>
      <c r="L29" s="27" t="e">
        <f>IF(AND('Mapa final'!#REF!="Media",'Mapa final'!#REF!="Leve"),CONCATENATE("R4C",'Mapa final'!#REF!),"")</f>
        <v>#REF!</v>
      </c>
      <c r="M29" s="27" t="e">
        <f>IF(AND('Mapa final'!#REF!="Media",'Mapa final'!#REF!="Leve"),CONCATENATE("R4C",'Mapa final'!#REF!),"")</f>
        <v>#REF!</v>
      </c>
      <c r="N29" s="27" t="e">
        <f>IF(AND('Mapa final'!#REF!="Media",'Mapa final'!#REF!="Leve"),CONCATENATE("R4C",'Mapa final'!#REF!),"")</f>
        <v>#REF!</v>
      </c>
      <c r="O29" s="28" t="e">
        <f>IF(AND('Mapa final'!#REF!="Media",'Mapa final'!#REF!="Leve"),CONCATENATE("R4C",'Mapa final'!#REF!),"")</f>
        <v>#REF!</v>
      </c>
      <c r="P29" s="26" t="str">
        <f>IF(AND('Mapa final'!$Z$26="Media",'Mapa final'!$AB$26="Menor"),CONCATENATE("R4C",'Mapa final'!$P$26),"")</f>
        <v/>
      </c>
      <c r="Q29" s="27" t="str">
        <f>IF(AND('Mapa final'!$Z$27="Media",'Mapa final'!$AB$27="Menor"),CONCATENATE("R4C",'Mapa final'!$P$27),"")</f>
        <v/>
      </c>
      <c r="R29" s="27" t="e">
        <f>IF(AND('Mapa final'!#REF!="Media",'Mapa final'!#REF!="Menor"),CONCATENATE("R4C",'Mapa final'!#REF!),"")</f>
        <v>#REF!</v>
      </c>
      <c r="S29" s="27" t="e">
        <f>IF(AND('Mapa final'!#REF!="Media",'Mapa final'!#REF!="Menor"),CONCATENATE("R4C",'Mapa final'!#REF!),"")</f>
        <v>#REF!</v>
      </c>
      <c r="T29" s="27" t="e">
        <f>IF(AND('Mapa final'!#REF!="Media",'Mapa final'!#REF!="Menor"),CONCATENATE("R4C",'Mapa final'!#REF!),"")</f>
        <v>#REF!</v>
      </c>
      <c r="U29" s="28" t="e">
        <f>IF(AND('Mapa final'!#REF!="Media",'Mapa final'!#REF!="Menor"),CONCATENATE("R4C",'Mapa final'!#REF!),"")</f>
        <v>#REF!</v>
      </c>
      <c r="V29" s="26" t="str">
        <f>IF(AND('Mapa final'!$Z$26="Media",'Mapa final'!$AB$26="Moderado"),CONCATENATE("R4C",'Mapa final'!$P$26),"")</f>
        <v/>
      </c>
      <c r="W29" s="27" t="str">
        <f>IF(AND('Mapa final'!$Z$27="Media",'Mapa final'!$AB$27="Moderado"),CONCATENATE("R4C",'Mapa final'!$P$27),"")</f>
        <v/>
      </c>
      <c r="X29" s="27" t="e">
        <f>IF(AND('Mapa final'!#REF!="Media",'Mapa final'!#REF!="Moderado"),CONCATENATE("R4C",'Mapa final'!#REF!),"")</f>
        <v>#REF!</v>
      </c>
      <c r="Y29" s="27" t="e">
        <f>IF(AND('Mapa final'!#REF!="Media",'Mapa final'!#REF!="Moderado"),CONCATENATE("R4C",'Mapa final'!#REF!),"")</f>
        <v>#REF!</v>
      </c>
      <c r="Z29" s="27" t="e">
        <f>IF(AND('Mapa final'!#REF!="Media",'Mapa final'!#REF!="Moderado"),CONCATENATE("R4C",'Mapa final'!#REF!),"")</f>
        <v>#REF!</v>
      </c>
      <c r="AA29" s="28" t="e">
        <f>IF(AND('Mapa final'!#REF!="Media",'Mapa final'!#REF!="Moderado"),CONCATENATE("R4C",'Mapa final'!#REF!),"")</f>
        <v>#REF!</v>
      </c>
      <c r="AB29" s="11" t="str">
        <f>IF(AND('Mapa final'!$Z$26="Media",'Mapa final'!$AB$26="Mayor"),CONCATENATE("R4C",'Mapa final'!$P$26),"")</f>
        <v/>
      </c>
      <c r="AC29" s="12" t="str">
        <f>IF(AND('Mapa final'!$Z$27="Media",'Mapa final'!$AB$27="Mayor"),CONCATENATE("R4C",'Mapa final'!$P$27),"")</f>
        <v/>
      </c>
      <c r="AD29" s="12" t="e">
        <f>IF(AND('Mapa final'!#REF!="Media",'Mapa final'!#REF!="Mayor"),CONCATENATE("R4C",'Mapa final'!#REF!),"")</f>
        <v>#REF!</v>
      </c>
      <c r="AE29" s="12" t="e">
        <f>IF(AND('Mapa final'!#REF!="Media",'Mapa final'!#REF!="Mayor"),CONCATENATE("R4C",'Mapa final'!#REF!),"")</f>
        <v>#REF!</v>
      </c>
      <c r="AF29" s="12" t="e">
        <f>IF(AND('Mapa final'!#REF!="Media",'Mapa final'!#REF!="Mayor"),CONCATENATE("R4C",'Mapa final'!#REF!),"")</f>
        <v>#REF!</v>
      </c>
      <c r="AG29" s="13" t="e">
        <f>IF(AND('Mapa final'!#REF!="Media",'Mapa final'!#REF!="Mayor"),CONCATENATE("R4C",'Mapa final'!#REF!),"")</f>
        <v>#REF!</v>
      </c>
      <c r="AH29" s="14" t="str">
        <f>IF(AND('Mapa final'!$Z$26="Media",'Mapa final'!$AB$26="Catastrófico"),CONCATENATE("R4C",'Mapa final'!$P$26),"")</f>
        <v/>
      </c>
      <c r="AI29" s="15" t="str">
        <f>IF(AND('Mapa final'!$Z$27="Media",'Mapa final'!$AB$27="Catastrófico"),CONCATENATE("R4C",'Mapa final'!$P$27),"")</f>
        <v/>
      </c>
      <c r="AJ29" s="15" t="e">
        <f>IF(AND('Mapa final'!#REF!="Media",'Mapa final'!#REF!="Catastrófico"),CONCATENATE("R4C",'Mapa final'!#REF!),"")</f>
        <v>#REF!</v>
      </c>
      <c r="AK29" s="15" t="e">
        <f>IF(AND('Mapa final'!#REF!="Media",'Mapa final'!#REF!="Catastrófico"),CONCATENATE("R4C",'Mapa final'!#REF!),"")</f>
        <v>#REF!</v>
      </c>
      <c r="AL29" s="15" t="e">
        <f>IF(AND('Mapa final'!#REF!="Media",'Mapa final'!#REF!="Catastrófico"),CONCATENATE("R4C",'Mapa final'!#REF!),"")</f>
        <v>#REF!</v>
      </c>
      <c r="AM29" s="16" t="e">
        <f>IF(AND('Mapa final'!#REF!="Media",'Mapa final'!#REF!="Catastrófico"),CONCATENATE("R4C",'Mapa final'!#REF!),"")</f>
        <v>#REF!</v>
      </c>
      <c r="AN29" s="42"/>
      <c r="AO29" s="379"/>
      <c r="AP29" s="380"/>
      <c r="AQ29" s="380"/>
      <c r="AR29" s="380"/>
      <c r="AS29" s="380"/>
      <c r="AT29" s="381"/>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row>
    <row r="30" spans="1:76" ht="15" customHeight="1" x14ac:dyDescent="0.3">
      <c r="A30" s="42"/>
      <c r="B30" s="298"/>
      <c r="C30" s="298"/>
      <c r="D30" s="299"/>
      <c r="E30" s="339"/>
      <c r="F30" s="340"/>
      <c r="G30" s="340"/>
      <c r="H30" s="340"/>
      <c r="I30" s="341"/>
      <c r="J30" s="26" t="e">
        <f>IF(AND('Mapa final'!#REF!="Media",'Mapa final'!#REF!="Leve"),CONCATENATE("R5C",'Mapa final'!#REF!),"")</f>
        <v>#REF!</v>
      </c>
      <c r="K30" s="27" t="e">
        <f>IF(AND('Mapa final'!#REF!="Media",'Mapa final'!#REF!="Leve"),CONCATENATE("R5C",'Mapa final'!#REF!),"")</f>
        <v>#REF!</v>
      </c>
      <c r="L30" s="27" t="e">
        <f>IF(AND('Mapa final'!#REF!="Media",'Mapa final'!#REF!="Leve"),CONCATENATE("R5C",'Mapa final'!#REF!),"")</f>
        <v>#REF!</v>
      </c>
      <c r="M30" s="27" t="e">
        <f>IF(AND('Mapa final'!#REF!="Media",'Mapa final'!#REF!="Leve"),CONCATENATE("R5C",'Mapa final'!#REF!),"")</f>
        <v>#REF!</v>
      </c>
      <c r="N30" s="27" t="e">
        <f>IF(AND('Mapa final'!#REF!="Media",'Mapa final'!#REF!="Leve"),CONCATENATE("R5C",'Mapa final'!#REF!),"")</f>
        <v>#REF!</v>
      </c>
      <c r="O30" s="28" t="e">
        <f>IF(AND('Mapa final'!#REF!="Media",'Mapa final'!#REF!="Leve"),CONCATENATE("R5C",'Mapa final'!#REF!),"")</f>
        <v>#REF!</v>
      </c>
      <c r="P30" s="26" t="e">
        <f>IF(AND('Mapa final'!#REF!="Media",'Mapa final'!#REF!="Menor"),CONCATENATE("R5C",'Mapa final'!#REF!),"")</f>
        <v>#REF!</v>
      </c>
      <c r="Q30" s="27" t="e">
        <f>IF(AND('Mapa final'!#REF!="Media",'Mapa final'!#REF!="Menor"),CONCATENATE("R5C",'Mapa final'!#REF!),"")</f>
        <v>#REF!</v>
      </c>
      <c r="R30" s="27" t="e">
        <f>IF(AND('Mapa final'!#REF!="Media",'Mapa final'!#REF!="Menor"),CONCATENATE("R5C",'Mapa final'!#REF!),"")</f>
        <v>#REF!</v>
      </c>
      <c r="S30" s="27" t="e">
        <f>IF(AND('Mapa final'!#REF!="Media",'Mapa final'!#REF!="Menor"),CONCATENATE("R5C",'Mapa final'!#REF!),"")</f>
        <v>#REF!</v>
      </c>
      <c r="T30" s="27" t="e">
        <f>IF(AND('Mapa final'!#REF!="Media",'Mapa final'!#REF!="Menor"),CONCATENATE("R5C",'Mapa final'!#REF!),"")</f>
        <v>#REF!</v>
      </c>
      <c r="U30" s="28" t="e">
        <f>IF(AND('Mapa final'!#REF!="Media",'Mapa final'!#REF!="Menor"),CONCATENATE("R5C",'Mapa final'!#REF!),"")</f>
        <v>#REF!</v>
      </c>
      <c r="V30" s="26" t="e">
        <f>IF(AND('Mapa final'!#REF!="Media",'Mapa final'!#REF!="Moderado"),CONCATENATE("R5C",'Mapa final'!#REF!),"")</f>
        <v>#REF!</v>
      </c>
      <c r="W30" s="27" t="e">
        <f>IF(AND('Mapa final'!#REF!="Media",'Mapa final'!#REF!="Moderado"),CONCATENATE("R5C",'Mapa final'!#REF!),"")</f>
        <v>#REF!</v>
      </c>
      <c r="X30" s="27" t="e">
        <f>IF(AND('Mapa final'!#REF!="Media",'Mapa final'!#REF!="Moderado"),CONCATENATE("R5C",'Mapa final'!#REF!),"")</f>
        <v>#REF!</v>
      </c>
      <c r="Y30" s="27" t="e">
        <f>IF(AND('Mapa final'!#REF!="Media",'Mapa final'!#REF!="Moderado"),CONCATENATE("R5C",'Mapa final'!#REF!),"")</f>
        <v>#REF!</v>
      </c>
      <c r="Z30" s="27" t="e">
        <f>IF(AND('Mapa final'!#REF!="Media",'Mapa final'!#REF!="Moderado"),CONCATENATE("R5C",'Mapa final'!#REF!),"")</f>
        <v>#REF!</v>
      </c>
      <c r="AA30" s="28" t="e">
        <f>IF(AND('Mapa final'!#REF!="Media",'Mapa final'!#REF!="Moderado"),CONCATENATE("R5C",'Mapa final'!#REF!),"")</f>
        <v>#REF!</v>
      </c>
      <c r="AB30" s="11" t="e">
        <f>IF(AND('Mapa final'!#REF!="Media",'Mapa final'!#REF!="Mayor"),CONCATENATE("R5C",'Mapa final'!#REF!),"")</f>
        <v>#REF!</v>
      </c>
      <c r="AC30" s="12" t="e">
        <f>IF(AND('Mapa final'!#REF!="Media",'Mapa final'!#REF!="Mayor"),CONCATENATE("R5C",'Mapa final'!#REF!),"")</f>
        <v>#REF!</v>
      </c>
      <c r="AD30" s="12" t="e">
        <f>IF(AND('Mapa final'!#REF!="Media",'Mapa final'!#REF!="Mayor"),CONCATENATE("R5C",'Mapa final'!#REF!),"")</f>
        <v>#REF!</v>
      </c>
      <c r="AE30" s="12" t="e">
        <f>IF(AND('Mapa final'!#REF!="Media",'Mapa final'!#REF!="Mayor"),CONCATENATE("R5C",'Mapa final'!#REF!),"")</f>
        <v>#REF!</v>
      </c>
      <c r="AF30" s="12" t="e">
        <f>IF(AND('Mapa final'!#REF!="Media",'Mapa final'!#REF!="Mayor"),CONCATENATE("R5C",'Mapa final'!#REF!),"")</f>
        <v>#REF!</v>
      </c>
      <c r="AG30" s="13" t="e">
        <f>IF(AND('Mapa final'!#REF!="Media",'Mapa final'!#REF!="Mayor"),CONCATENATE("R5C",'Mapa final'!#REF!),"")</f>
        <v>#REF!</v>
      </c>
      <c r="AH30" s="14" t="e">
        <f>IF(AND('Mapa final'!#REF!="Media",'Mapa final'!#REF!="Catastrófico"),CONCATENATE("R5C",'Mapa final'!#REF!),"")</f>
        <v>#REF!</v>
      </c>
      <c r="AI30" s="15" t="e">
        <f>IF(AND('Mapa final'!#REF!="Media",'Mapa final'!#REF!="Catastrófico"),CONCATENATE("R5C",'Mapa final'!#REF!),"")</f>
        <v>#REF!</v>
      </c>
      <c r="AJ30" s="15" t="e">
        <f>IF(AND('Mapa final'!#REF!="Media",'Mapa final'!#REF!="Catastrófico"),CONCATENATE("R5C",'Mapa final'!#REF!),"")</f>
        <v>#REF!</v>
      </c>
      <c r="AK30" s="15" t="e">
        <f>IF(AND('Mapa final'!#REF!="Media",'Mapa final'!#REF!="Catastrófico"),CONCATENATE("R5C",'Mapa final'!#REF!),"")</f>
        <v>#REF!</v>
      </c>
      <c r="AL30" s="15" t="e">
        <f>IF(AND('Mapa final'!#REF!="Media",'Mapa final'!#REF!="Catastrófico"),CONCATENATE("R5C",'Mapa final'!#REF!),"")</f>
        <v>#REF!</v>
      </c>
      <c r="AM30" s="16" t="e">
        <f>IF(AND('Mapa final'!#REF!="Media",'Mapa final'!#REF!="Catastrófico"),CONCATENATE("R5C",'Mapa final'!#REF!),"")</f>
        <v>#REF!</v>
      </c>
      <c r="AN30" s="42"/>
      <c r="AO30" s="379"/>
      <c r="AP30" s="380"/>
      <c r="AQ30" s="380"/>
      <c r="AR30" s="380"/>
      <c r="AS30" s="380"/>
      <c r="AT30" s="381"/>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row>
    <row r="31" spans="1:76" ht="15" customHeight="1" x14ac:dyDescent="0.3">
      <c r="A31" s="42"/>
      <c r="B31" s="298"/>
      <c r="C31" s="298"/>
      <c r="D31" s="299"/>
      <c r="E31" s="339"/>
      <c r="F31" s="340"/>
      <c r="G31" s="340"/>
      <c r="H31" s="340"/>
      <c r="I31" s="341"/>
      <c r="J31" s="26" t="e">
        <f>IF(AND('Mapa final'!#REF!="Media",'Mapa final'!#REF!="Leve"),CONCATENATE("R6C",'Mapa final'!#REF!),"")</f>
        <v>#REF!</v>
      </c>
      <c r="K31" s="27" t="e">
        <f>IF(AND('Mapa final'!#REF!="Media",'Mapa final'!#REF!="Leve"),CONCATENATE("R6C",'Mapa final'!#REF!),"")</f>
        <v>#REF!</v>
      </c>
      <c r="L31" s="27" t="e">
        <f>IF(AND('Mapa final'!#REF!="Media",'Mapa final'!#REF!="Leve"),CONCATENATE("R6C",'Mapa final'!#REF!),"")</f>
        <v>#REF!</v>
      </c>
      <c r="M31" s="27" t="e">
        <f>IF(AND('Mapa final'!#REF!="Media",'Mapa final'!#REF!="Leve"),CONCATENATE("R6C",'Mapa final'!#REF!),"")</f>
        <v>#REF!</v>
      </c>
      <c r="N31" s="27" t="e">
        <f>IF(AND('Mapa final'!#REF!="Media",'Mapa final'!#REF!="Leve"),CONCATENATE("R6C",'Mapa final'!#REF!),"")</f>
        <v>#REF!</v>
      </c>
      <c r="O31" s="28" t="e">
        <f>IF(AND('Mapa final'!#REF!="Media",'Mapa final'!#REF!="Leve"),CONCATENATE("R6C",'Mapa final'!#REF!),"")</f>
        <v>#REF!</v>
      </c>
      <c r="P31" s="26" t="e">
        <f>IF(AND('Mapa final'!#REF!="Media",'Mapa final'!#REF!="Menor"),CONCATENATE("R6C",'Mapa final'!#REF!),"")</f>
        <v>#REF!</v>
      </c>
      <c r="Q31" s="27" t="e">
        <f>IF(AND('Mapa final'!#REF!="Media",'Mapa final'!#REF!="Menor"),CONCATENATE("R6C",'Mapa final'!#REF!),"")</f>
        <v>#REF!</v>
      </c>
      <c r="R31" s="27" t="e">
        <f>IF(AND('Mapa final'!#REF!="Media",'Mapa final'!#REF!="Menor"),CONCATENATE("R6C",'Mapa final'!#REF!),"")</f>
        <v>#REF!</v>
      </c>
      <c r="S31" s="27" t="e">
        <f>IF(AND('Mapa final'!#REF!="Media",'Mapa final'!#REF!="Menor"),CONCATENATE("R6C",'Mapa final'!#REF!),"")</f>
        <v>#REF!</v>
      </c>
      <c r="T31" s="27" t="e">
        <f>IF(AND('Mapa final'!#REF!="Media",'Mapa final'!#REF!="Menor"),CONCATENATE("R6C",'Mapa final'!#REF!),"")</f>
        <v>#REF!</v>
      </c>
      <c r="U31" s="28" t="e">
        <f>IF(AND('Mapa final'!#REF!="Media",'Mapa final'!#REF!="Menor"),CONCATENATE("R6C",'Mapa final'!#REF!),"")</f>
        <v>#REF!</v>
      </c>
      <c r="V31" s="26" t="e">
        <f>IF(AND('Mapa final'!#REF!="Media",'Mapa final'!#REF!="Moderado"),CONCATENATE("R6C",'Mapa final'!#REF!),"")</f>
        <v>#REF!</v>
      </c>
      <c r="W31" s="27" t="e">
        <f>IF(AND('Mapa final'!#REF!="Media",'Mapa final'!#REF!="Moderado"),CONCATENATE("R6C",'Mapa final'!#REF!),"")</f>
        <v>#REF!</v>
      </c>
      <c r="X31" s="27" t="e">
        <f>IF(AND('Mapa final'!#REF!="Media",'Mapa final'!#REF!="Moderado"),CONCATENATE("R6C",'Mapa final'!#REF!),"")</f>
        <v>#REF!</v>
      </c>
      <c r="Y31" s="27" t="e">
        <f>IF(AND('Mapa final'!#REF!="Media",'Mapa final'!#REF!="Moderado"),CONCATENATE("R6C",'Mapa final'!#REF!),"")</f>
        <v>#REF!</v>
      </c>
      <c r="Z31" s="27" t="e">
        <f>IF(AND('Mapa final'!#REF!="Media",'Mapa final'!#REF!="Moderado"),CONCATENATE("R6C",'Mapa final'!#REF!),"")</f>
        <v>#REF!</v>
      </c>
      <c r="AA31" s="28" t="e">
        <f>IF(AND('Mapa final'!#REF!="Media",'Mapa final'!#REF!="Moderado"),CONCATENATE("R6C",'Mapa final'!#REF!),"")</f>
        <v>#REF!</v>
      </c>
      <c r="AB31" s="11" t="e">
        <f>IF(AND('Mapa final'!#REF!="Media",'Mapa final'!#REF!="Mayor"),CONCATENATE("R6C",'Mapa final'!#REF!),"")</f>
        <v>#REF!</v>
      </c>
      <c r="AC31" s="12" t="e">
        <f>IF(AND('Mapa final'!#REF!="Media",'Mapa final'!#REF!="Mayor"),CONCATENATE("R6C",'Mapa final'!#REF!),"")</f>
        <v>#REF!</v>
      </c>
      <c r="AD31" s="12" t="e">
        <f>IF(AND('Mapa final'!#REF!="Media",'Mapa final'!#REF!="Mayor"),CONCATENATE("R6C",'Mapa final'!#REF!),"")</f>
        <v>#REF!</v>
      </c>
      <c r="AE31" s="12" t="e">
        <f>IF(AND('Mapa final'!#REF!="Media",'Mapa final'!#REF!="Mayor"),CONCATENATE("R6C",'Mapa final'!#REF!),"")</f>
        <v>#REF!</v>
      </c>
      <c r="AF31" s="12" t="e">
        <f>IF(AND('Mapa final'!#REF!="Media",'Mapa final'!#REF!="Mayor"),CONCATENATE("R6C",'Mapa final'!#REF!),"")</f>
        <v>#REF!</v>
      </c>
      <c r="AG31" s="13" t="e">
        <f>IF(AND('Mapa final'!#REF!="Media",'Mapa final'!#REF!="Mayor"),CONCATENATE("R6C",'Mapa final'!#REF!),"")</f>
        <v>#REF!</v>
      </c>
      <c r="AH31" s="14" t="e">
        <f>IF(AND('Mapa final'!#REF!="Media",'Mapa final'!#REF!="Catastrófico"),CONCATENATE("R6C",'Mapa final'!#REF!),"")</f>
        <v>#REF!</v>
      </c>
      <c r="AI31" s="15" t="e">
        <f>IF(AND('Mapa final'!#REF!="Media",'Mapa final'!#REF!="Catastrófico"),CONCATENATE("R6C",'Mapa final'!#REF!),"")</f>
        <v>#REF!</v>
      </c>
      <c r="AJ31" s="15" t="e">
        <f>IF(AND('Mapa final'!#REF!="Media",'Mapa final'!#REF!="Catastrófico"),CONCATENATE("R6C",'Mapa final'!#REF!),"")</f>
        <v>#REF!</v>
      </c>
      <c r="AK31" s="15" t="e">
        <f>IF(AND('Mapa final'!#REF!="Media",'Mapa final'!#REF!="Catastrófico"),CONCATENATE("R6C",'Mapa final'!#REF!),"")</f>
        <v>#REF!</v>
      </c>
      <c r="AL31" s="15" t="e">
        <f>IF(AND('Mapa final'!#REF!="Media",'Mapa final'!#REF!="Catastrófico"),CONCATENATE("R6C",'Mapa final'!#REF!),"")</f>
        <v>#REF!</v>
      </c>
      <c r="AM31" s="16" t="e">
        <f>IF(AND('Mapa final'!#REF!="Media",'Mapa final'!#REF!="Catastrófico"),CONCATENATE("R6C",'Mapa final'!#REF!),"")</f>
        <v>#REF!</v>
      </c>
      <c r="AN31" s="42"/>
      <c r="AO31" s="379"/>
      <c r="AP31" s="380"/>
      <c r="AQ31" s="380"/>
      <c r="AR31" s="380"/>
      <c r="AS31" s="380"/>
      <c r="AT31" s="381"/>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row>
    <row r="32" spans="1:76" ht="15" customHeight="1" x14ac:dyDescent="0.3">
      <c r="A32" s="42"/>
      <c r="B32" s="298"/>
      <c r="C32" s="298"/>
      <c r="D32" s="299"/>
      <c r="E32" s="339"/>
      <c r="F32" s="340"/>
      <c r="G32" s="340"/>
      <c r="H32" s="340"/>
      <c r="I32" s="341"/>
      <c r="J32" s="26" t="e">
        <f>IF(AND('Mapa final'!#REF!="Media",'Mapa final'!#REF!="Leve"),CONCATENATE("R7C",'Mapa final'!#REF!),"")</f>
        <v>#REF!</v>
      </c>
      <c r="K32" s="27" t="e">
        <f>IF(AND('Mapa final'!#REF!="Media",'Mapa final'!#REF!="Leve"),CONCATENATE("R7C",'Mapa final'!#REF!),"")</f>
        <v>#REF!</v>
      </c>
      <c r="L32" s="27" t="e">
        <f>IF(AND('Mapa final'!#REF!="Media",'Mapa final'!#REF!="Leve"),CONCATENATE("R7C",'Mapa final'!#REF!),"")</f>
        <v>#REF!</v>
      </c>
      <c r="M32" s="27" t="e">
        <f>IF(AND('Mapa final'!#REF!="Media",'Mapa final'!#REF!="Leve"),CONCATENATE("R7C",'Mapa final'!#REF!),"")</f>
        <v>#REF!</v>
      </c>
      <c r="N32" s="27" t="e">
        <f>IF(AND('Mapa final'!#REF!="Media",'Mapa final'!#REF!="Leve"),CONCATENATE("R7C",'Mapa final'!#REF!),"")</f>
        <v>#REF!</v>
      </c>
      <c r="O32" s="28" t="e">
        <f>IF(AND('Mapa final'!#REF!="Media",'Mapa final'!#REF!="Leve"),CONCATENATE("R7C",'Mapa final'!#REF!),"")</f>
        <v>#REF!</v>
      </c>
      <c r="P32" s="26" t="e">
        <f>IF(AND('Mapa final'!#REF!="Media",'Mapa final'!#REF!="Menor"),CONCATENATE("R7C",'Mapa final'!#REF!),"")</f>
        <v>#REF!</v>
      </c>
      <c r="Q32" s="27" t="e">
        <f>IF(AND('Mapa final'!#REF!="Media",'Mapa final'!#REF!="Menor"),CONCATENATE("R7C",'Mapa final'!#REF!),"")</f>
        <v>#REF!</v>
      </c>
      <c r="R32" s="27" t="e">
        <f>IF(AND('Mapa final'!#REF!="Media",'Mapa final'!#REF!="Menor"),CONCATENATE("R7C",'Mapa final'!#REF!),"")</f>
        <v>#REF!</v>
      </c>
      <c r="S32" s="27" t="e">
        <f>IF(AND('Mapa final'!#REF!="Media",'Mapa final'!#REF!="Menor"),CONCATENATE("R7C",'Mapa final'!#REF!),"")</f>
        <v>#REF!</v>
      </c>
      <c r="T32" s="27" t="e">
        <f>IF(AND('Mapa final'!#REF!="Media",'Mapa final'!#REF!="Menor"),CONCATENATE("R7C",'Mapa final'!#REF!),"")</f>
        <v>#REF!</v>
      </c>
      <c r="U32" s="28" t="e">
        <f>IF(AND('Mapa final'!#REF!="Media",'Mapa final'!#REF!="Menor"),CONCATENATE("R7C",'Mapa final'!#REF!),"")</f>
        <v>#REF!</v>
      </c>
      <c r="V32" s="26" t="e">
        <f>IF(AND('Mapa final'!#REF!="Media",'Mapa final'!#REF!="Moderado"),CONCATENATE("R7C",'Mapa final'!#REF!),"")</f>
        <v>#REF!</v>
      </c>
      <c r="W32" s="27" t="e">
        <f>IF(AND('Mapa final'!#REF!="Media",'Mapa final'!#REF!="Moderado"),CONCATENATE("R7C",'Mapa final'!#REF!),"")</f>
        <v>#REF!</v>
      </c>
      <c r="X32" s="27" t="e">
        <f>IF(AND('Mapa final'!#REF!="Media",'Mapa final'!#REF!="Moderado"),CONCATENATE("R7C",'Mapa final'!#REF!),"")</f>
        <v>#REF!</v>
      </c>
      <c r="Y32" s="27" t="e">
        <f>IF(AND('Mapa final'!#REF!="Media",'Mapa final'!#REF!="Moderado"),CONCATENATE("R7C",'Mapa final'!#REF!),"")</f>
        <v>#REF!</v>
      </c>
      <c r="Z32" s="27" t="e">
        <f>IF(AND('Mapa final'!#REF!="Media",'Mapa final'!#REF!="Moderado"),CONCATENATE("R7C",'Mapa final'!#REF!),"")</f>
        <v>#REF!</v>
      </c>
      <c r="AA32" s="28" t="e">
        <f>IF(AND('Mapa final'!#REF!="Media",'Mapa final'!#REF!="Moderado"),CONCATENATE("R7C",'Mapa final'!#REF!),"")</f>
        <v>#REF!</v>
      </c>
      <c r="AB32" s="11" t="e">
        <f>IF(AND('Mapa final'!#REF!="Media",'Mapa final'!#REF!="Mayor"),CONCATENATE("R7C",'Mapa final'!#REF!),"")</f>
        <v>#REF!</v>
      </c>
      <c r="AC32" s="12" t="e">
        <f>IF(AND('Mapa final'!#REF!="Media",'Mapa final'!#REF!="Mayor"),CONCATENATE("R7C",'Mapa final'!#REF!),"")</f>
        <v>#REF!</v>
      </c>
      <c r="AD32" s="12" t="e">
        <f>IF(AND('Mapa final'!#REF!="Media",'Mapa final'!#REF!="Mayor"),CONCATENATE("R7C",'Mapa final'!#REF!),"")</f>
        <v>#REF!</v>
      </c>
      <c r="AE32" s="12" t="e">
        <f>IF(AND('Mapa final'!#REF!="Media",'Mapa final'!#REF!="Mayor"),CONCATENATE("R7C",'Mapa final'!#REF!),"")</f>
        <v>#REF!</v>
      </c>
      <c r="AF32" s="12" t="e">
        <f>IF(AND('Mapa final'!#REF!="Media",'Mapa final'!#REF!="Mayor"),CONCATENATE("R7C",'Mapa final'!#REF!),"")</f>
        <v>#REF!</v>
      </c>
      <c r="AG32" s="13" t="e">
        <f>IF(AND('Mapa final'!#REF!="Media",'Mapa final'!#REF!="Mayor"),CONCATENATE("R7C",'Mapa final'!#REF!),"")</f>
        <v>#REF!</v>
      </c>
      <c r="AH32" s="14" t="e">
        <f>IF(AND('Mapa final'!#REF!="Media",'Mapa final'!#REF!="Catastrófico"),CONCATENATE("R7C",'Mapa final'!#REF!),"")</f>
        <v>#REF!</v>
      </c>
      <c r="AI32" s="15" t="e">
        <f>IF(AND('Mapa final'!#REF!="Media",'Mapa final'!#REF!="Catastrófico"),CONCATENATE("R7C",'Mapa final'!#REF!),"")</f>
        <v>#REF!</v>
      </c>
      <c r="AJ32" s="15" t="e">
        <f>IF(AND('Mapa final'!#REF!="Media",'Mapa final'!#REF!="Catastrófico"),CONCATENATE("R7C",'Mapa final'!#REF!),"")</f>
        <v>#REF!</v>
      </c>
      <c r="AK32" s="15" t="e">
        <f>IF(AND('Mapa final'!#REF!="Media",'Mapa final'!#REF!="Catastrófico"),CONCATENATE("R7C",'Mapa final'!#REF!),"")</f>
        <v>#REF!</v>
      </c>
      <c r="AL32" s="15" t="e">
        <f>IF(AND('Mapa final'!#REF!="Media",'Mapa final'!#REF!="Catastrófico"),CONCATENATE("R7C",'Mapa final'!#REF!),"")</f>
        <v>#REF!</v>
      </c>
      <c r="AM32" s="16" t="e">
        <f>IF(AND('Mapa final'!#REF!="Media",'Mapa final'!#REF!="Catastrófico"),CONCATENATE("R7C",'Mapa final'!#REF!),"")</f>
        <v>#REF!</v>
      </c>
      <c r="AN32" s="42"/>
      <c r="AO32" s="379"/>
      <c r="AP32" s="380"/>
      <c r="AQ32" s="380"/>
      <c r="AR32" s="380"/>
      <c r="AS32" s="380"/>
      <c r="AT32" s="381"/>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row>
    <row r="33" spans="1:80" ht="15" customHeight="1" x14ac:dyDescent="0.3">
      <c r="A33" s="42"/>
      <c r="B33" s="298"/>
      <c r="C33" s="298"/>
      <c r="D33" s="299"/>
      <c r="E33" s="339"/>
      <c r="F33" s="340"/>
      <c r="G33" s="340"/>
      <c r="H33" s="340"/>
      <c r="I33" s="341"/>
      <c r="J33" s="26" t="e">
        <f>IF(AND('Mapa final'!#REF!="Media",'Mapa final'!#REF!="Leve"),CONCATENATE("R8C",'Mapa final'!#REF!),"")</f>
        <v>#REF!</v>
      </c>
      <c r="K33" s="27" t="e">
        <f>IF(AND('Mapa final'!#REF!="Media",'Mapa final'!#REF!="Leve"),CONCATENATE("R8C",'Mapa final'!#REF!),"")</f>
        <v>#REF!</v>
      </c>
      <c r="L33" s="27" t="e">
        <f>IF(AND('Mapa final'!#REF!="Media",'Mapa final'!#REF!="Leve"),CONCATENATE("R8C",'Mapa final'!#REF!),"")</f>
        <v>#REF!</v>
      </c>
      <c r="M33" s="27" t="e">
        <f>IF(AND('Mapa final'!#REF!="Media",'Mapa final'!#REF!="Leve"),CONCATENATE("R8C",'Mapa final'!#REF!),"")</f>
        <v>#REF!</v>
      </c>
      <c r="N33" s="27" t="e">
        <f>IF(AND('Mapa final'!#REF!="Media",'Mapa final'!#REF!="Leve"),CONCATENATE("R8C",'Mapa final'!#REF!),"")</f>
        <v>#REF!</v>
      </c>
      <c r="O33" s="28" t="e">
        <f>IF(AND('Mapa final'!#REF!="Media",'Mapa final'!#REF!="Leve"),CONCATENATE("R8C",'Mapa final'!#REF!),"")</f>
        <v>#REF!</v>
      </c>
      <c r="P33" s="26" t="e">
        <f>IF(AND('Mapa final'!#REF!="Media",'Mapa final'!#REF!="Menor"),CONCATENATE("R8C",'Mapa final'!#REF!),"")</f>
        <v>#REF!</v>
      </c>
      <c r="Q33" s="27" t="e">
        <f>IF(AND('Mapa final'!#REF!="Media",'Mapa final'!#REF!="Menor"),CONCATENATE("R8C",'Mapa final'!#REF!),"")</f>
        <v>#REF!</v>
      </c>
      <c r="R33" s="27" t="e">
        <f>IF(AND('Mapa final'!#REF!="Media",'Mapa final'!#REF!="Menor"),CONCATENATE("R8C",'Mapa final'!#REF!),"")</f>
        <v>#REF!</v>
      </c>
      <c r="S33" s="27" t="e">
        <f>IF(AND('Mapa final'!#REF!="Media",'Mapa final'!#REF!="Menor"),CONCATENATE("R8C",'Mapa final'!#REF!),"")</f>
        <v>#REF!</v>
      </c>
      <c r="T33" s="27" t="e">
        <f>IF(AND('Mapa final'!#REF!="Media",'Mapa final'!#REF!="Menor"),CONCATENATE("R8C",'Mapa final'!#REF!),"")</f>
        <v>#REF!</v>
      </c>
      <c r="U33" s="28" t="e">
        <f>IF(AND('Mapa final'!#REF!="Media",'Mapa final'!#REF!="Menor"),CONCATENATE("R8C",'Mapa final'!#REF!),"")</f>
        <v>#REF!</v>
      </c>
      <c r="V33" s="26" t="e">
        <f>IF(AND('Mapa final'!#REF!="Media",'Mapa final'!#REF!="Moderado"),CONCATENATE("R8C",'Mapa final'!#REF!),"")</f>
        <v>#REF!</v>
      </c>
      <c r="W33" s="27" t="e">
        <f>IF(AND('Mapa final'!#REF!="Media",'Mapa final'!#REF!="Moderado"),CONCATENATE("R8C",'Mapa final'!#REF!),"")</f>
        <v>#REF!</v>
      </c>
      <c r="X33" s="27" t="e">
        <f>IF(AND('Mapa final'!#REF!="Media",'Mapa final'!#REF!="Moderado"),CONCATENATE("R8C",'Mapa final'!#REF!),"")</f>
        <v>#REF!</v>
      </c>
      <c r="Y33" s="27" t="e">
        <f>IF(AND('Mapa final'!#REF!="Media",'Mapa final'!#REF!="Moderado"),CONCATENATE("R8C",'Mapa final'!#REF!),"")</f>
        <v>#REF!</v>
      </c>
      <c r="Z33" s="27" t="e">
        <f>IF(AND('Mapa final'!#REF!="Media",'Mapa final'!#REF!="Moderado"),CONCATENATE("R8C",'Mapa final'!#REF!),"")</f>
        <v>#REF!</v>
      </c>
      <c r="AA33" s="28" t="e">
        <f>IF(AND('Mapa final'!#REF!="Media",'Mapa final'!#REF!="Moderado"),CONCATENATE("R8C",'Mapa final'!#REF!),"")</f>
        <v>#REF!</v>
      </c>
      <c r="AB33" s="11" t="e">
        <f>IF(AND('Mapa final'!#REF!="Media",'Mapa final'!#REF!="Mayor"),CONCATENATE("R8C",'Mapa final'!#REF!),"")</f>
        <v>#REF!</v>
      </c>
      <c r="AC33" s="12" t="e">
        <f>IF(AND('Mapa final'!#REF!="Media",'Mapa final'!#REF!="Mayor"),CONCATENATE("R8C",'Mapa final'!#REF!),"")</f>
        <v>#REF!</v>
      </c>
      <c r="AD33" s="12" t="e">
        <f>IF(AND('Mapa final'!#REF!="Media",'Mapa final'!#REF!="Mayor"),CONCATENATE("R8C",'Mapa final'!#REF!),"")</f>
        <v>#REF!</v>
      </c>
      <c r="AE33" s="12" t="e">
        <f>IF(AND('Mapa final'!#REF!="Media",'Mapa final'!#REF!="Mayor"),CONCATENATE("R8C",'Mapa final'!#REF!),"")</f>
        <v>#REF!</v>
      </c>
      <c r="AF33" s="12" t="e">
        <f>IF(AND('Mapa final'!#REF!="Media",'Mapa final'!#REF!="Mayor"),CONCATENATE("R8C",'Mapa final'!#REF!),"")</f>
        <v>#REF!</v>
      </c>
      <c r="AG33" s="13" t="e">
        <f>IF(AND('Mapa final'!#REF!="Media",'Mapa final'!#REF!="Mayor"),CONCATENATE("R8C",'Mapa final'!#REF!),"")</f>
        <v>#REF!</v>
      </c>
      <c r="AH33" s="14" t="e">
        <f>IF(AND('Mapa final'!#REF!="Media",'Mapa final'!#REF!="Catastrófico"),CONCATENATE("R8C",'Mapa final'!#REF!),"")</f>
        <v>#REF!</v>
      </c>
      <c r="AI33" s="15" t="e">
        <f>IF(AND('Mapa final'!#REF!="Media",'Mapa final'!#REF!="Catastrófico"),CONCATENATE("R8C",'Mapa final'!#REF!),"")</f>
        <v>#REF!</v>
      </c>
      <c r="AJ33" s="15" t="e">
        <f>IF(AND('Mapa final'!#REF!="Media",'Mapa final'!#REF!="Catastrófico"),CONCATENATE("R8C",'Mapa final'!#REF!),"")</f>
        <v>#REF!</v>
      </c>
      <c r="AK33" s="15" t="e">
        <f>IF(AND('Mapa final'!#REF!="Media",'Mapa final'!#REF!="Catastrófico"),CONCATENATE("R8C",'Mapa final'!#REF!),"")</f>
        <v>#REF!</v>
      </c>
      <c r="AL33" s="15" t="e">
        <f>IF(AND('Mapa final'!#REF!="Media",'Mapa final'!#REF!="Catastrófico"),CONCATENATE("R8C",'Mapa final'!#REF!),"")</f>
        <v>#REF!</v>
      </c>
      <c r="AM33" s="16" t="e">
        <f>IF(AND('Mapa final'!#REF!="Media",'Mapa final'!#REF!="Catastrófico"),CONCATENATE("R8C",'Mapa final'!#REF!),"")</f>
        <v>#REF!</v>
      </c>
      <c r="AN33" s="42"/>
      <c r="AO33" s="379"/>
      <c r="AP33" s="380"/>
      <c r="AQ33" s="380"/>
      <c r="AR33" s="380"/>
      <c r="AS33" s="380"/>
      <c r="AT33" s="381"/>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row>
    <row r="34" spans="1:80" ht="15" customHeight="1" x14ac:dyDescent="0.3">
      <c r="A34" s="42"/>
      <c r="B34" s="298"/>
      <c r="C34" s="298"/>
      <c r="D34" s="299"/>
      <c r="E34" s="339"/>
      <c r="F34" s="340"/>
      <c r="G34" s="340"/>
      <c r="H34" s="340"/>
      <c r="I34" s="341"/>
      <c r="J34" s="26" t="e">
        <f>IF(AND('Mapa final'!#REF!="Media",'Mapa final'!#REF!="Leve"),CONCATENATE("R9C",'Mapa final'!#REF!),"")</f>
        <v>#REF!</v>
      </c>
      <c r="K34" s="27" t="e">
        <f>IF(AND('Mapa final'!#REF!="Media",'Mapa final'!#REF!="Leve"),CONCATENATE("R9C",'Mapa final'!#REF!),"")</f>
        <v>#REF!</v>
      </c>
      <c r="L34" s="27" t="e">
        <f>IF(AND('Mapa final'!#REF!="Media",'Mapa final'!#REF!="Leve"),CONCATENATE("R9C",'Mapa final'!#REF!),"")</f>
        <v>#REF!</v>
      </c>
      <c r="M34" s="27" t="e">
        <f>IF(AND('Mapa final'!#REF!="Media",'Mapa final'!#REF!="Leve"),CONCATENATE("R9C",'Mapa final'!#REF!),"")</f>
        <v>#REF!</v>
      </c>
      <c r="N34" s="27" t="e">
        <f>IF(AND('Mapa final'!#REF!="Media",'Mapa final'!#REF!="Leve"),CONCATENATE("R9C",'Mapa final'!#REF!),"")</f>
        <v>#REF!</v>
      </c>
      <c r="O34" s="28" t="e">
        <f>IF(AND('Mapa final'!#REF!="Media",'Mapa final'!#REF!="Leve"),CONCATENATE("R9C",'Mapa final'!#REF!),"")</f>
        <v>#REF!</v>
      </c>
      <c r="P34" s="26" t="e">
        <f>IF(AND('Mapa final'!#REF!="Media",'Mapa final'!#REF!="Menor"),CONCATENATE("R9C",'Mapa final'!#REF!),"")</f>
        <v>#REF!</v>
      </c>
      <c r="Q34" s="27" t="e">
        <f>IF(AND('Mapa final'!#REF!="Media",'Mapa final'!#REF!="Menor"),CONCATENATE("R9C",'Mapa final'!#REF!),"")</f>
        <v>#REF!</v>
      </c>
      <c r="R34" s="27" t="e">
        <f>IF(AND('Mapa final'!#REF!="Media",'Mapa final'!#REF!="Menor"),CONCATENATE("R9C",'Mapa final'!#REF!),"")</f>
        <v>#REF!</v>
      </c>
      <c r="S34" s="27" t="e">
        <f>IF(AND('Mapa final'!#REF!="Media",'Mapa final'!#REF!="Menor"),CONCATENATE("R9C",'Mapa final'!#REF!),"")</f>
        <v>#REF!</v>
      </c>
      <c r="T34" s="27" t="e">
        <f>IF(AND('Mapa final'!#REF!="Media",'Mapa final'!#REF!="Menor"),CONCATENATE("R9C",'Mapa final'!#REF!),"")</f>
        <v>#REF!</v>
      </c>
      <c r="U34" s="28" t="e">
        <f>IF(AND('Mapa final'!#REF!="Media",'Mapa final'!#REF!="Menor"),CONCATENATE("R9C",'Mapa final'!#REF!),"")</f>
        <v>#REF!</v>
      </c>
      <c r="V34" s="26" t="e">
        <f>IF(AND('Mapa final'!#REF!="Media",'Mapa final'!#REF!="Moderado"),CONCATENATE("R9C",'Mapa final'!#REF!),"")</f>
        <v>#REF!</v>
      </c>
      <c r="W34" s="27" t="e">
        <f>IF(AND('Mapa final'!#REF!="Media",'Mapa final'!#REF!="Moderado"),CONCATENATE("R9C",'Mapa final'!#REF!),"")</f>
        <v>#REF!</v>
      </c>
      <c r="X34" s="27" t="e">
        <f>IF(AND('Mapa final'!#REF!="Media",'Mapa final'!#REF!="Moderado"),CONCATENATE("R9C",'Mapa final'!#REF!),"")</f>
        <v>#REF!</v>
      </c>
      <c r="Y34" s="27" t="e">
        <f>IF(AND('Mapa final'!#REF!="Media",'Mapa final'!#REF!="Moderado"),CONCATENATE("R9C",'Mapa final'!#REF!),"")</f>
        <v>#REF!</v>
      </c>
      <c r="Z34" s="27" t="e">
        <f>IF(AND('Mapa final'!#REF!="Media",'Mapa final'!#REF!="Moderado"),CONCATENATE("R9C",'Mapa final'!#REF!),"")</f>
        <v>#REF!</v>
      </c>
      <c r="AA34" s="28" t="e">
        <f>IF(AND('Mapa final'!#REF!="Media",'Mapa final'!#REF!="Moderado"),CONCATENATE("R9C",'Mapa final'!#REF!),"")</f>
        <v>#REF!</v>
      </c>
      <c r="AB34" s="11" t="e">
        <f>IF(AND('Mapa final'!#REF!="Media",'Mapa final'!#REF!="Mayor"),CONCATENATE("R9C",'Mapa final'!#REF!),"")</f>
        <v>#REF!</v>
      </c>
      <c r="AC34" s="12" t="e">
        <f>IF(AND('Mapa final'!#REF!="Media",'Mapa final'!#REF!="Mayor"),CONCATENATE("R9C",'Mapa final'!#REF!),"")</f>
        <v>#REF!</v>
      </c>
      <c r="AD34" s="12" t="e">
        <f>IF(AND('Mapa final'!#REF!="Media",'Mapa final'!#REF!="Mayor"),CONCATENATE("R9C",'Mapa final'!#REF!),"")</f>
        <v>#REF!</v>
      </c>
      <c r="AE34" s="12" t="e">
        <f>IF(AND('Mapa final'!#REF!="Media",'Mapa final'!#REF!="Mayor"),CONCATENATE("R9C",'Mapa final'!#REF!),"")</f>
        <v>#REF!</v>
      </c>
      <c r="AF34" s="12" t="e">
        <f>IF(AND('Mapa final'!#REF!="Media",'Mapa final'!#REF!="Mayor"),CONCATENATE("R9C",'Mapa final'!#REF!),"")</f>
        <v>#REF!</v>
      </c>
      <c r="AG34" s="13" t="e">
        <f>IF(AND('Mapa final'!#REF!="Media",'Mapa final'!#REF!="Mayor"),CONCATENATE("R9C",'Mapa final'!#REF!),"")</f>
        <v>#REF!</v>
      </c>
      <c r="AH34" s="14" t="e">
        <f>IF(AND('Mapa final'!#REF!="Media",'Mapa final'!#REF!="Catastrófico"),CONCATENATE("R9C",'Mapa final'!#REF!),"")</f>
        <v>#REF!</v>
      </c>
      <c r="AI34" s="15" t="e">
        <f>IF(AND('Mapa final'!#REF!="Media",'Mapa final'!#REF!="Catastrófico"),CONCATENATE("R9C",'Mapa final'!#REF!),"")</f>
        <v>#REF!</v>
      </c>
      <c r="AJ34" s="15" t="e">
        <f>IF(AND('Mapa final'!#REF!="Media",'Mapa final'!#REF!="Catastrófico"),CONCATENATE("R9C",'Mapa final'!#REF!),"")</f>
        <v>#REF!</v>
      </c>
      <c r="AK34" s="15" t="e">
        <f>IF(AND('Mapa final'!#REF!="Media",'Mapa final'!#REF!="Catastrófico"),CONCATENATE("R9C",'Mapa final'!#REF!),"")</f>
        <v>#REF!</v>
      </c>
      <c r="AL34" s="15" t="e">
        <f>IF(AND('Mapa final'!#REF!="Media",'Mapa final'!#REF!="Catastrófico"),CONCATENATE("R9C",'Mapa final'!#REF!),"")</f>
        <v>#REF!</v>
      </c>
      <c r="AM34" s="16" t="e">
        <f>IF(AND('Mapa final'!#REF!="Media",'Mapa final'!#REF!="Catastrófico"),CONCATENATE("R9C",'Mapa final'!#REF!),"")</f>
        <v>#REF!</v>
      </c>
      <c r="AN34" s="42"/>
      <c r="AO34" s="379"/>
      <c r="AP34" s="380"/>
      <c r="AQ34" s="380"/>
      <c r="AR34" s="380"/>
      <c r="AS34" s="380"/>
      <c r="AT34" s="381"/>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row>
    <row r="35" spans="1:80" ht="16.2" customHeight="1" thickBot="1" x14ac:dyDescent="0.35">
      <c r="A35" s="42"/>
      <c r="B35" s="298"/>
      <c r="C35" s="298"/>
      <c r="D35" s="299"/>
      <c r="E35" s="342"/>
      <c r="F35" s="343"/>
      <c r="G35" s="343"/>
      <c r="H35" s="343"/>
      <c r="I35" s="344"/>
      <c r="J35" s="26" t="e">
        <f>IF(AND('Mapa final'!#REF!="Media",'Mapa final'!#REF!="Leve"),CONCATENATE("R10C",'Mapa final'!#REF!),"")</f>
        <v>#REF!</v>
      </c>
      <c r="K35" s="27" t="e">
        <f>IF(AND('Mapa final'!#REF!="Media",'Mapa final'!#REF!="Leve"),CONCATENATE("R10C",'Mapa final'!#REF!),"")</f>
        <v>#REF!</v>
      </c>
      <c r="L35" s="27" t="e">
        <f>IF(AND('Mapa final'!#REF!="Media",'Mapa final'!#REF!="Leve"),CONCATENATE("R10C",'Mapa final'!#REF!),"")</f>
        <v>#REF!</v>
      </c>
      <c r="M35" s="27" t="e">
        <f>IF(AND('Mapa final'!#REF!="Media",'Mapa final'!#REF!="Leve"),CONCATENATE("R10C",'Mapa final'!#REF!),"")</f>
        <v>#REF!</v>
      </c>
      <c r="N35" s="27" t="e">
        <f>IF(AND('Mapa final'!#REF!="Media",'Mapa final'!#REF!="Leve"),CONCATENATE("R10C",'Mapa final'!#REF!),"")</f>
        <v>#REF!</v>
      </c>
      <c r="O35" s="28" t="e">
        <f>IF(AND('Mapa final'!#REF!="Media",'Mapa final'!#REF!="Leve"),CONCATENATE("R10C",'Mapa final'!#REF!),"")</f>
        <v>#REF!</v>
      </c>
      <c r="P35" s="26" t="e">
        <f>IF(AND('Mapa final'!#REF!="Media",'Mapa final'!#REF!="Menor"),CONCATENATE("R10C",'Mapa final'!#REF!),"")</f>
        <v>#REF!</v>
      </c>
      <c r="Q35" s="27" t="e">
        <f>IF(AND('Mapa final'!#REF!="Media",'Mapa final'!#REF!="Menor"),CONCATENATE("R10C",'Mapa final'!#REF!),"")</f>
        <v>#REF!</v>
      </c>
      <c r="R35" s="27" t="e">
        <f>IF(AND('Mapa final'!#REF!="Media",'Mapa final'!#REF!="Menor"),CONCATENATE("R10C",'Mapa final'!#REF!),"")</f>
        <v>#REF!</v>
      </c>
      <c r="S35" s="27" t="e">
        <f>IF(AND('Mapa final'!#REF!="Media",'Mapa final'!#REF!="Menor"),CONCATENATE("R10C",'Mapa final'!#REF!),"")</f>
        <v>#REF!</v>
      </c>
      <c r="T35" s="27" t="e">
        <f>IF(AND('Mapa final'!#REF!="Media",'Mapa final'!#REF!="Menor"),CONCATENATE("R10C",'Mapa final'!#REF!),"")</f>
        <v>#REF!</v>
      </c>
      <c r="U35" s="28" t="e">
        <f>IF(AND('Mapa final'!#REF!="Media",'Mapa final'!#REF!="Menor"),CONCATENATE("R10C",'Mapa final'!#REF!),"")</f>
        <v>#REF!</v>
      </c>
      <c r="V35" s="26" t="e">
        <f>IF(AND('Mapa final'!#REF!="Media",'Mapa final'!#REF!="Moderado"),CONCATENATE("R10C",'Mapa final'!#REF!),"")</f>
        <v>#REF!</v>
      </c>
      <c r="W35" s="27" t="e">
        <f>IF(AND('Mapa final'!#REF!="Media",'Mapa final'!#REF!="Moderado"),CONCATENATE("R10C",'Mapa final'!#REF!),"")</f>
        <v>#REF!</v>
      </c>
      <c r="X35" s="27" t="e">
        <f>IF(AND('Mapa final'!#REF!="Media",'Mapa final'!#REF!="Moderado"),CONCATENATE("R10C",'Mapa final'!#REF!),"")</f>
        <v>#REF!</v>
      </c>
      <c r="Y35" s="27" t="e">
        <f>IF(AND('Mapa final'!#REF!="Media",'Mapa final'!#REF!="Moderado"),CONCATENATE("R10C",'Mapa final'!#REF!),"")</f>
        <v>#REF!</v>
      </c>
      <c r="Z35" s="27" t="e">
        <f>IF(AND('Mapa final'!#REF!="Media",'Mapa final'!#REF!="Moderado"),CONCATENATE("R10C",'Mapa final'!#REF!),"")</f>
        <v>#REF!</v>
      </c>
      <c r="AA35" s="28" t="e">
        <f>IF(AND('Mapa final'!#REF!="Media",'Mapa final'!#REF!="Moderado"),CONCATENATE("R10C",'Mapa final'!#REF!),"")</f>
        <v>#REF!</v>
      </c>
      <c r="AB35" s="17" t="e">
        <f>IF(AND('Mapa final'!#REF!="Media",'Mapa final'!#REF!="Mayor"),CONCATENATE("R10C",'Mapa final'!#REF!),"")</f>
        <v>#REF!</v>
      </c>
      <c r="AC35" s="18" t="e">
        <f>IF(AND('Mapa final'!#REF!="Media",'Mapa final'!#REF!="Mayor"),CONCATENATE("R10C",'Mapa final'!#REF!),"")</f>
        <v>#REF!</v>
      </c>
      <c r="AD35" s="18" t="e">
        <f>IF(AND('Mapa final'!#REF!="Media",'Mapa final'!#REF!="Mayor"),CONCATENATE("R10C",'Mapa final'!#REF!),"")</f>
        <v>#REF!</v>
      </c>
      <c r="AE35" s="18" t="e">
        <f>IF(AND('Mapa final'!#REF!="Media",'Mapa final'!#REF!="Mayor"),CONCATENATE("R10C",'Mapa final'!#REF!),"")</f>
        <v>#REF!</v>
      </c>
      <c r="AF35" s="18" t="e">
        <f>IF(AND('Mapa final'!#REF!="Media",'Mapa final'!#REF!="Mayor"),CONCATENATE("R10C",'Mapa final'!#REF!),"")</f>
        <v>#REF!</v>
      </c>
      <c r="AG35" s="19" t="e">
        <f>IF(AND('Mapa final'!#REF!="Media",'Mapa final'!#REF!="Mayor"),CONCATENATE("R10C",'Mapa final'!#REF!),"")</f>
        <v>#REF!</v>
      </c>
      <c r="AH35" s="20" t="e">
        <f>IF(AND('Mapa final'!#REF!="Media",'Mapa final'!#REF!="Catastrófico"),CONCATENATE("R10C",'Mapa final'!#REF!),"")</f>
        <v>#REF!</v>
      </c>
      <c r="AI35" s="21" t="e">
        <f>IF(AND('Mapa final'!#REF!="Media",'Mapa final'!#REF!="Catastrófico"),CONCATENATE("R10C",'Mapa final'!#REF!),"")</f>
        <v>#REF!</v>
      </c>
      <c r="AJ35" s="21" t="e">
        <f>IF(AND('Mapa final'!#REF!="Media",'Mapa final'!#REF!="Catastrófico"),CONCATENATE("R10C",'Mapa final'!#REF!),"")</f>
        <v>#REF!</v>
      </c>
      <c r="AK35" s="21" t="e">
        <f>IF(AND('Mapa final'!#REF!="Media",'Mapa final'!#REF!="Catastrófico"),CONCATENATE("R10C",'Mapa final'!#REF!),"")</f>
        <v>#REF!</v>
      </c>
      <c r="AL35" s="21" t="e">
        <f>IF(AND('Mapa final'!#REF!="Media",'Mapa final'!#REF!="Catastrófico"),CONCATENATE("R10C",'Mapa final'!#REF!),"")</f>
        <v>#REF!</v>
      </c>
      <c r="AM35" s="22" t="e">
        <f>IF(AND('Mapa final'!#REF!="Media",'Mapa final'!#REF!="Catastrófico"),CONCATENATE("R10C",'Mapa final'!#REF!),"")</f>
        <v>#REF!</v>
      </c>
      <c r="AN35" s="42"/>
      <c r="AO35" s="382"/>
      <c r="AP35" s="383"/>
      <c r="AQ35" s="383"/>
      <c r="AR35" s="383"/>
      <c r="AS35" s="383"/>
      <c r="AT35" s="384"/>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row>
    <row r="36" spans="1:80" ht="15" customHeight="1" x14ac:dyDescent="0.3">
      <c r="A36" s="42"/>
      <c r="B36" s="298"/>
      <c r="C36" s="298"/>
      <c r="D36" s="299"/>
      <c r="E36" s="336" t="s">
        <v>210</v>
      </c>
      <c r="F36" s="337"/>
      <c r="G36" s="337"/>
      <c r="H36" s="337"/>
      <c r="I36" s="337"/>
      <c r="J36" s="32" t="str">
        <f>IF(AND('Mapa final'!$Z$11="Baja",'Mapa final'!$AB$11="Leve"),CONCATENATE("R1C",'Mapa final'!$P$11),"")</f>
        <v/>
      </c>
      <c r="K36" s="33" t="str">
        <f>IF(AND('Mapa final'!$Z$12="Baja",'Mapa final'!$AB$12="Leve"),CONCATENATE("R1C",'Mapa final'!$P$12),"")</f>
        <v/>
      </c>
      <c r="L36" s="33" t="str">
        <f>IF(AND('Mapa final'!$Z$13="Baja",'Mapa final'!$AB$13="Leve"),CONCATENATE("R1C",'Mapa final'!$P$13),"")</f>
        <v/>
      </c>
      <c r="M36" s="33" t="str">
        <f>IF(AND('Mapa final'!$Z$14="Baja",'Mapa final'!$AB$14="Leve"),CONCATENATE("R1C",'Mapa final'!$P$14),"")</f>
        <v/>
      </c>
      <c r="N36" s="33" t="str">
        <f>IF(AND('Mapa final'!$Z$15="Baja",'Mapa final'!$AB$15="Leve"),CONCATENATE("R1C",'Mapa final'!$P$15),"")</f>
        <v/>
      </c>
      <c r="O36" s="34" t="str">
        <f>IF(AND('Mapa final'!$Z$16="Baja",'Mapa final'!$AB$16="Leve"),CONCATENATE("R1C",'Mapa final'!$P$16),"")</f>
        <v/>
      </c>
      <c r="P36" s="23" t="str">
        <f>IF(AND('Mapa final'!$Z$11="Baja",'Mapa final'!$AB$11="Menor"),CONCATENATE("R1C",'Mapa final'!$P$11),"")</f>
        <v/>
      </c>
      <c r="Q36" s="24" t="str">
        <f>IF(AND('Mapa final'!$Z$12="Baja",'Mapa final'!$AB$12="Menor"),CONCATENATE("R1C",'Mapa final'!$P$12),"")</f>
        <v/>
      </c>
      <c r="R36" s="24" t="str">
        <f>IF(AND('Mapa final'!$Z$13="Baja",'Mapa final'!$AB$13="Menor"),CONCATENATE("R1C",'Mapa final'!$P$13),"")</f>
        <v/>
      </c>
      <c r="S36" s="24" t="str">
        <f>IF(AND('Mapa final'!$Z$14="Baja",'Mapa final'!$AB$14="Menor"),CONCATENATE("R1C",'Mapa final'!$P$14),"")</f>
        <v/>
      </c>
      <c r="T36" s="24" t="str">
        <f>IF(AND('Mapa final'!$Z$15="Baja",'Mapa final'!$AB$15="Menor"),CONCATENATE("R1C",'Mapa final'!$P$15),"")</f>
        <v/>
      </c>
      <c r="U36" s="25" t="str">
        <f>IF(AND('Mapa final'!$Z$16="Baja",'Mapa final'!$AB$16="Menor"),CONCATENATE("R1C",'Mapa final'!$P$16),"")</f>
        <v/>
      </c>
      <c r="V36" s="23" t="str">
        <f>IF(AND('Mapa final'!$Z$11="Baja",'Mapa final'!$AB$11="Moderado"),CONCATENATE("R1C",'Mapa final'!$P$11),"")</f>
        <v/>
      </c>
      <c r="W36" s="24" t="str">
        <f>IF(AND('Mapa final'!$Z$12="Baja",'Mapa final'!$AB$12="Moderado"),CONCATENATE("R1C",'Mapa final'!$P$12),"")</f>
        <v/>
      </c>
      <c r="X36" s="24" t="str">
        <f>IF(AND('Mapa final'!$Z$13="Baja",'Mapa final'!$AB$13="Moderado"),CONCATENATE("R1C",'Mapa final'!$P$13),"")</f>
        <v/>
      </c>
      <c r="Y36" s="24" t="str">
        <f>IF(AND('Mapa final'!$Z$14="Baja",'Mapa final'!$AB$14="Moderado"),CONCATENATE("R1C",'Mapa final'!$P$14),"")</f>
        <v/>
      </c>
      <c r="Z36" s="24" t="str">
        <f>IF(AND('Mapa final'!$Z$15="Baja",'Mapa final'!$AB$15="Moderado"),CONCATENATE("R1C",'Mapa final'!$P$15),"")</f>
        <v/>
      </c>
      <c r="AA36" s="25" t="str">
        <f>IF(AND('Mapa final'!$Z$16="Baja",'Mapa final'!$AB$16="Moderado"),CONCATENATE("R1C",'Mapa final'!$P$16),"")</f>
        <v/>
      </c>
      <c r="AB36" s="5" t="str">
        <f>IF(AND('Mapa final'!$Z$11="Baja",'Mapa final'!$AB$11="Mayor"),CONCATENATE("R1C",'Mapa final'!$P$11),"")</f>
        <v/>
      </c>
      <c r="AC36" s="6" t="str">
        <f>IF(AND('Mapa final'!$Z$12="Baja",'Mapa final'!$AB$12="Mayor"),CONCATENATE("R1C",'Mapa final'!$P$12),"")</f>
        <v/>
      </c>
      <c r="AD36" s="6" t="str">
        <f>IF(AND('Mapa final'!$Z$13="Baja",'Mapa final'!$AB$13="Mayor"),CONCATENATE("R1C",'Mapa final'!$P$13),"")</f>
        <v/>
      </c>
      <c r="AE36" s="6" t="str">
        <f>IF(AND('Mapa final'!$Z$14="Baja",'Mapa final'!$AB$14="Mayor"),CONCATENATE("R1C",'Mapa final'!$P$14),"")</f>
        <v/>
      </c>
      <c r="AF36" s="6" t="str">
        <f>IF(AND('Mapa final'!$Z$15="Baja",'Mapa final'!$AB$15="Mayor"),CONCATENATE("R1C",'Mapa final'!$P$15),"")</f>
        <v/>
      </c>
      <c r="AG36" s="7" t="str">
        <f>IF(AND('Mapa final'!$Z$16="Baja",'Mapa final'!$AB$16="Mayor"),CONCATENATE("R1C",'Mapa final'!$P$16),"")</f>
        <v/>
      </c>
      <c r="AH36" s="8" t="str">
        <f>IF(AND('Mapa final'!$Z$11="Baja",'Mapa final'!$AB$11="Catastrófico"),CONCATENATE("R1C",'Mapa final'!$P$11),"")</f>
        <v/>
      </c>
      <c r="AI36" s="9" t="str">
        <f>IF(AND('Mapa final'!$Z$12="Baja",'Mapa final'!$AB$12="Catastrófico"),CONCATENATE("R1C",'Mapa final'!$P$12),"")</f>
        <v/>
      </c>
      <c r="AJ36" s="9" t="str">
        <f>IF(AND('Mapa final'!$Z$13="Baja",'Mapa final'!$AB$13="Catastrófico"),CONCATENATE("R1C",'Mapa final'!$P$13),"")</f>
        <v/>
      </c>
      <c r="AK36" s="9" t="str">
        <f>IF(AND('Mapa final'!$Z$14="Baja",'Mapa final'!$AB$14="Catastrófico"),CONCATENATE("R1C",'Mapa final'!$P$14),"")</f>
        <v/>
      </c>
      <c r="AL36" s="9" t="str">
        <f>IF(AND('Mapa final'!$Z$15="Baja",'Mapa final'!$AB$15="Catastrófico"),CONCATENATE("R1C",'Mapa final'!$P$15),"")</f>
        <v/>
      </c>
      <c r="AM36" s="10" t="str">
        <f>IF(AND('Mapa final'!$Z$16="Baja",'Mapa final'!$AB$16="Catastrófico"),CONCATENATE("R1C",'Mapa final'!$P$16),"")</f>
        <v/>
      </c>
      <c r="AN36" s="42"/>
      <c r="AO36" s="367" t="s">
        <v>211</v>
      </c>
      <c r="AP36" s="368"/>
      <c r="AQ36" s="368"/>
      <c r="AR36" s="368"/>
      <c r="AS36" s="368"/>
      <c r="AT36" s="369"/>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row>
    <row r="37" spans="1:80" ht="15" customHeight="1" x14ac:dyDescent="0.3">
      <c r="A37" s="42"/>
      <c r="B37" s="298"/>
      <c r="C37" s="298"/>
      <c r="D37" s="299"/>
      <c r="E37" s="355"/>
      <c r="F37" s="340"/>
      <c r="G37" s="340"/>
      <c r="H37" s="340"/>
      <c r="I37" s="340"/>
      <c r="J37" s="35" t="str">
        <f>IF(AND('Mapa final'!$Z$17="Baja",'Mapa final'!$AB$17="Leve"),CONCATENATE("R2C",'Mapa final'!$P$17),"")</f>
        <v/>
      </c>
      <c r="K37" s="36" t="str">
        <f>IF(AND('Mapa final'!$Z$18="Baja",'Mapa final'!$AB$18="Leve"),CONCATENATE("R2C",'Mapa final'!$P$18),"")</f>
        <v/>
      </c>
      <c r="L37" s="36" t="str">
        <f>IF(AND('Mapa final'!$Z$19="Baja",'Mapa final'!$AB$19="Leve"),CONCATENATE("R2C",'Mapa final'!$P$19),"")</f>
        <v/>
      </c>
      <c r="M37" s="36" t="e">
        <f>IF(AND('Mapa final'!#REF!="Baja",'Mapa final'!#REF!="Leve"),CONCATENATE("R2C",'Mapa final'!#REF!),"")</f>
        <v>#REF!</v>
      </c>
      <c r="N37" s="36" t="e">
        <f>IF(AND('Mapa final'!#REF!="Baja",'Mapa final'!#REF!="Leve"),CONCATENATE("R2C",'Mapa final'!#REF!),"")</f>
        <v>#REF!</v>
      </c>
      <c r="O37" s="37" t="e">
        <f>IF(AND('Mapa final'!#REF!="Baja",'Mapa final'!#REF!="Leve"),CONCATENATE("R2C",'Mapa final'!#REF!),"")</f>
        <v>#REF!</v>
      </c>
      <c r="P37" s="26" t="str">
        <f>IF(AND('Mapa final'!$Z$17="Baja",'Mapa final'!$AB$17="Menor"),CONCATENATE("R2C",'Mapa final'!$P$17),"")</f>
        <v/>
      </c>
      <c r="Q37" s="27" t="str">
        <f>IF(AND('Mapa final'!$Z$18="Baja",'Mapa final'!$AB$18="Menor"),CONCATENATE("R2C",'Mapa final'!$P$18),"")</f>
        <v/>
      </c>
      <c r="R37" s="27" t="str">
        <f>IF(AND('Mapa final'!$Z$19="Baja",'Mapa final'!$AB$19="Menor"),CONCATENATE("R2C",'Mapa final'!$P$19),"")</f>
        <v/>
      </c>
      <c r="S37" s="27" t="e">
        <f>IF(AND('Mapa final'!#REF!="Baja",'Mapa final'!#REF!="Menor"),CONCATENATE("R2C",'Mapa final'!#REF!),"")</f>
        <v>#REF!</v>
      </c>
      <c r="T37" s="27" t="e">
        <f>IF(AND('Mapa final'!#REF!="Baja",'Mapa final'!#REF!="Menor"),CONCATENATE("R2C",'Mapa final'!#REF!),"")</f>
        <v>#REF!</v>
      </c>
      <c r="U37" s="28" t="e">
        <f>IF(AND('Mapa final'!#REF!="Baja",'Mapa final'!#REF!="Menor"),CONCATENATE("R2C",'Mapa final'!#REF!),"")</f>
        <v>#REF!</v>
      </c>
      <c r="V37" s="26" t="str">
        <f>IF(AND('Mapa final'!$Z$17="Baja",'Mapa final'!$AB$17="Moderado"),CONCATENATE("R2C",'Mapa final'!$P$17),"")</f>
        <v/>
      </c>
      <c r="W37" s="27" t="str">
        <f>IF(AND('Mapa final'!$Z$18="Baja",'Mapa final'!$AB$18="Moderado"),CONCATENATE("R2C",'Mapa final'!$P$18),"")</f>
        <v>R2C2</v>
      </c>
      <c r="X37" s="27" t="str">
        <f>IF(AND('Mapa final'!$Z$19="Baja",'Mapa final'!$AB$19="Moderado"),CONCATENATE("R2C",'Mapa final'!$P$19),"")</f>
        <v/>
      </c>
      <c r="Y37" s="27" t="e">
        <f>IF(AND('Mapa final'!#REF!="Baja",'Mapa final'!#REF!="Moderado"),CONCATENATE("R2C",'Mapa final'!#REF!),"")</f>
        <v>#REF!</v>
      </c>
      <c r="Z37" s="27" t="e">
        <f>IF(AND('Mapa final'!#REF!="Baja",'Mapa final'!#REF!="Moderado"),CONCATENATE("R2C",'Mapa final'!#REF!),"")</f>
        <v>#REF!</v>
      </c>
      <c r="AA37" s="28" t="e">
        <f>IF(AND('Mapa final'!#REF!="Baja",'Mapa final'!#REF!="Moderado"),CONCATENATE("R2C",'Mapa final'!#REF!),"")</f>
        <v>#REF!</v>
      </c>
      <c r="AB37" s="11" t="str">
        <f>IF(AND('Mapa final'!$Z$17="Baja",'Mapa final'!$AB$17="Mayor"),CONCATENATE("R2C",'Mapa final'!$P$17),"")</f>
        <v/>
      </c>
      <c r="AC37" s="12" t="str">
        <f>IF(AND('Mapa final'!$Z$18="Baja",'Mapa final'!$AB$18="Mayor"),CONCATENATE("R2C",'Mapa final'!$P$18),"")</f>
        <v/>
      </c>
      <c r="AD37" s="12" t="str">
        <f>IF(AND('Mapa final'!$Z$19="Baja",'Mapa final'!$AB$19="Mayor"),CONCATENATE("R2C",'Mapa final'!$P$19),"")</f>
        <v/>
      </c>
      <c r="AE37" s="12" t="e">
        <f>IF(AND('Mapa final'!#REF!="Baja",'Mapa final'!#REF!="Mayor"),CONCATENATE("R2C",'Mapa final'!#REF!),"")</f>
        <v>#REF!</v>
      </c>
      <c r="AF37" s="12" t="e">
        <f>IF(AND('Mapa final'!#REF!="Baja",'Mapa final'!#REF!="Mayor"),CONCATENATE("R2C",'Mapa final'!#REF!),"")</f>
        <v>#REF!</v>
      </c>
      <c r="AG37" s="13" t="e">
        <f>IF(AND('Mapa final'!#REF!="Baja",'Mapa final'!#REF!="Mayor"),CONCATENATE("R2C",'Mapa final'!#REF!),"")</f>
        <v>#REF!</v>
      </c>
      <c r="AH37" s="14" t="str">
        <f>IF(AND('Mapa final'!$Z$17="Baja",'Mapa final'!$AB$17="Catastrófico"),CONCATENATE("R2C",'Mapa final'!$P$17),"")</f>
        <v/>
      </c>
      <c r="AI37" s="15" t="str">
        <f>IF(AND('Mapa final'!$Z$18="Baja",'Mapa final'!$AB$18="Catastrófico"),CONCATENATE("R2C",'Mapa final'!$P$18),"")</f>
        <v/>
      </c>
      <c r="AJ37" s="15" t="str">
        <f>IF(AND('Mapa final'!$Z$19="Baja",'Mapa final'!$AB$19="Catastrófico"),CONCATENATE("R2C",'Mapa final'!$P$19),"")</f>
        <v/>
      </c>
      <c r="AK37" s="15" t="e">
        <f>IF(AND('Mapa final'!#REF!="Baja",'Mapa final'!#REF!="Catastrófico"),CONCATENATE("R2C",'Mapa final'!#REF!),"")</f>
        <v>#REF!</v>
      </c>
      <c r="AL37" s="15" t="e">
        <f>IF(AND('Mapa final'!#REF!="Baja",'Mapa final'!#REF!="Catastrófico"),CONCATENATE("R2C",'Mapa final'!#REF!),"")</f>
        <v>#REF!</v>
      </c>
      <c r="AM37" s="16" t="e">
        <f>IF(AND('Mapa final'!#REF!="Baja",'Mapa final'!#REF!="Catastrófico"),CONCATENATE("R2C",'Mapa final'!#REF!),"")</f>
        <v>#REF!</v>
      </c>
      <c r="AN37" s="42"/>
      <c r="AO37" s="370"/>
      <c r="AP37" s="371"/>
      <c r="AQ37" s="371"/>
      <c r="AR37" s="371"/>
      <c r="AS37" s="371"/>
      <c r="AT37" s="37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row>
    <row r="38" spans="1:80" ht="15" customHeight="1" x14ac:dyDescent="0.3">
      <c r="A38" s="42"/>
      <c r="B38" s="298"/>
      <c r="C38" s="298"/>
      <c r="D38" s="299"/>
      <c r="E38" s="339"/>
      <c r="F38" s="340"/>
      <c r="G38" s="340"/>
      <c r="H38" s="340"/>
      <c r="I38" s="340"/>
      <c r="J38" s="35" t="str">
        <f>IF(AND('Mapa final'!$Z$20="Baja",'Mapa final'!$AB$20="Leve"),CONCATENATE("R3C",'Mapa final'!$P$20),"")</f>
        <v>R3C3</v>
      </c>
      <c r="K38" s="36" t="str">
        <f>IF(AND('Mapa final'!$Z$21="Baja",'Mapa final'!$AB$21="Leve"),CONCATENATE("R3C",'Mapa final'!$P$21),"")</f>
        <v/>
      </c>
      <c r="L38" s="36" t="str">
        <f>IF(AND('Mapa final'!$Z$22="Baja",'Mapa final'!$AB$22="Leve"),CONCATENATE("R3C",'Mapa final'!$P$22),"")</f>
        <v/>
      </c>
      <c r="M38" s="36" t="str">
        <f>IF(AND('Mapa final'!$Z$23="Baja",'Mapa final'!$AB$23="Leve"),CONCATENATE("R3C",'Mapa final'!$P$23),"")</f>
        <v/>
      </c>
      <c r="N38" s="36" t="str">
        <f>IF(AND('Mapa final'!$Z$24="Baja",'Mapa final'!$AB$24="Leve"),CONCATENATE("R3C",'Mapa final'!$P$24),"")</f>
        <v/>
      </c>
      <c r="O38" s="37" t="str">
        <f>IF(AND('Mapa final'!$Z$25="Baja",'Mapa final'!$AB$25="Leve"),CONCATENATE("R3C",'Mapa final'!$P$25),"")</f>
        <v/>
      </c>
      <c r="P38" s="26" t="str">
        <f>IF(AND('Mapa final'!$Z$20="Baja",'Mapa final'!$AB$20="Menor"),CONCATENATE("R3C",'Mapa final'!$P$20),"")</f>
        <v/>
      </c>
      <c r="Q38" s="27" t="str">
        <f>IF(AND('Mapa final'!$Z$21="Baja",'Mapa final'!$AB$21="Menor"),CONCATENATE("R3C",'Mapa final'!$P$21),"")</f>
        <v/>
      </c>
      <c r="R38" s="27" t="str">
        <f>IF(AND('Mapa final'!$Z$22="Baja",'Mapa final'!$AB$22="Menor"),CONCATENATE("R3C",'Mapa final'!$P$22),"")</f>
        <v>R3C2</v>
      </c>
      <c r="S38" s="27" t="str">
        <f>IF(AND('Mapa final'!$Z$23="Baja",'Mapa final'!$AB$23="Menor"),CONCATENATE("R3C",'Mapa final'!$P$23),"")</f>
        <v/>
      </c>
      <c r="T38" s="27" t="str">
        <f>IF(AND('Mapa final'!$Z$24="Baja",'Mapa final'!$AB$24="Menor"),CONCATENATE("R3C",'Mapa final'!$P$24),"")</f>
        <v>R3C2</v>
      </c>
      <c r="U38" s="28" t="str">
        <f>IF(AND('Mapa final'!$Z$25="Baja",'Mapa final'!$AB$25="Menor"),CONCATENATE("R3C",'Mapa final'!$P$25),"")</f>
        <v>R3C1</v>
      </c>
      <c r="V38" s="26" t="str">
        <f>IF(AND('Mapa final'!$Z$20="Baja",'Mapa final'!$AB$20="Moderado"),CONCATENATE("R3C",'Mapa final'!$P$20),"")</f>
        <v/>
      </c>
      <c r="W38" s="27" t="str">
        <f>IF(AND('Mapa final'!$Z$21="Baja",'Mapa final'!$AB$21="Moderado"),CONCATENATE("R3C",'Mapa final'!$P$21),"")</f>
        <v/>
      </c>
      <c r="X38" s="27" t="str">
        <f>IF(AND('Mapa final'!$Z$22="Baja",'Mapa final'!$AB$22="Moderado"),CONCATENATE("R3C",'Mapa final'!$P$22),"")</f>
        <v/>
      </c>
      <c r="Y38" s="27" t="str">
        <f>IF(AND('Mapa final'!$Z$23="Baja",'Mapa final'!$AB$23="Moderado"),CONCATENATE("R3C",'Mapa final'!$P$23),"")</f>
        <v>R3C2</v>
      </c>
      <c r="Z38" s="27" t="str">
        <f>IF(AND('Mapa final'!$Z$24="Baja",'Mapa final'!$AB$24="Moderado"),CONCATENATE("R3C",'Mapa final'!$P$24),"")</f>
        <v/>
      </c>
      <c r="AA38" s="28" t="str">
        <f>IF(AND('Mapa final'!$Z$25="Baja",'Mapa final'!$AB$25="Moderado"),CONCATENATE("R3C",'Mapa final'!$P$25),"")</f>
        <v/>
      </c>
      <c r="AB38" s="11" t="str">
        <f>IF(AND('Mapa final'!$Z$20="Baja",'Mapa final'!$AB$20="Mayor"),CONCATENATE("R3C",'Mapa final'!$P$20),"")</f>
        <v/>
      </c>
      <c r="AC38" s="12" t="str">
        <f>IF(AND('Mapa final'!$Z$21="Baja",'Mapa final'!$AB$21="Mayor"),CONCATENATE("R3C",'Mapa final'!$P$21),"")</f>
        <v/>
      </c>
      <c r="AD38" s="12" t="str">
        <f>IF(AND('Mapa final'!$Z$22="Baja",'Mapa final'!$AB$22="Mayor"),CONCATENATE("R3C",'Mapa final'!$P$22),"")</f>
        <v/>
      </c>
      <c r="AE38" s="12" t="str">
        <f>IF(AND('Mapa final'!$Z$23="Baja",'Mapa final'!$AB$23="Mayor"),CONCATENATE("R3C",'Mapa final'!$P$23),"")</f>
        <v/>
      </c>
      <c r="AF38" s="12" t="str">
        <f>IF(AND('Mapa final'!$Z$24="Baja",'Mapa final'!$AB$24="Mayor"),CONCATENATE("R3C",'Mapa final'!$P$24),"")</f>
        <v/>
      </c>
      <c r="AG38" s="13" t="str">
        <f>IF(AND('Mapa final'!$Z$25="Baja",'Mapa final'!$AB$25="Mayor"),CONCATENATE("R3C",'Mapa final'!$P$25),"")</f>
        <v/>
      </c>
      <c r="AH38" s="14" t="str">
        <f>IF(AND('Mapa final'!$Z$20="Baja",'Mapa final'!$AB$20="Catastrófico"),CONCATENATE("R3C",'Mapa final'!$P$20),"")</f>
        <v/>
      </c>
      <c r="AI38" s="15" t="str">
        <f>IF(AND('Mapa final'!$Z$21="Baja",'Mapa final'!$AB$21="Catastrófico"),CONCATENATE("R3C",'Mapa final'!$P$21),"")</f>
        <v/>
      </c>
      <c r="AJ38" s="15" t="str">
        <f>IF(AND('Mapa final'!$Z$22="Baja",'Mapa final'!$AB$22="Catastrófico"),CONCATENATE("R3C",'Mapa final'!$P$22),"")</f>
        <v/>
      </c>
      <c r="AK38" s="15" t="str">
        <f>IF(AND('Mapa final'!$Z$23="Baja",'Mapa final'!$AB$23="Catastrófico"),CONCATENATE("R3C",'Mapa final'!$P$23),"")</f>
        <v/>
      </c>
      <c r="AL38" s="15" t="str">
        <f>IF(AND('Mapa final'!$Z$24="Baja",'Mapa final'!$AB$24="Catastrófico"),CONCATENATE("R3C",'Mapa final'!$P$24),"")</f>
        <v/>
      </c>
      <c r="AM38" s="16" t="str">
        <f>IF(AND('Mapa final'!$Z$25="Baja",'Mapa final'!$AB$25="Catastrófico"),CONCATENATE("R3C",'Mapa final'!$P$25),"")</f>
        <v/>
      </c>
      <c r="AN38" s="42"/>
      <c r="AO38" s="370"/>
      <c r="AP38" s="371"/>
      <c r="AQ38" s="371"/>
      <c r="AR38" s="371"/>
      <c r="AS38" s="371"/>
      <c r="AT38" s="37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row>
    <row r="39" spans="1:80" ht="15" customHeight="1" x14ac:dyDescent="0.3">
      <c r="A39" s="42"/>
      <c r="B39" s="298"/>
      <c r="C39" s="298"/>
      <c r="D39" s="299"/>
      <c r="E39" s="339"/>
      <c r="F39" s="340"/>
      <c r="G39" s="340"/>
      <c r="H39" s="340"/>
      <c r="I39" s="340"/>
      <c r="J39" s="35" t="str">
        <f>IF(AND('Mapa final'!$Z$26="Baja",'Mapa final'!$AB$26="Leve"),CONCATENATE("R4C",'Mapa final'!$P$26),"")</f>
        <v/>
      </c>
      <c r="K39" s="36" t="str">
        <f>IF(AND('Mapa final'!$Z$27="Baja",'Mapa final'!$AB$27="Leve"),CONCATENATE("R4C",'Mapa final'!$P$27),"")</f>
        <v/>
      </c>
      <c r="L39" s="36" t="e">
        <f>IF(AND('Mapa final'!#REF!="Baja",'Mapa final'!#REF!="Leve"),CONCATENATE("R4C",'Mapa final'!#REF!),"")</f>
        <v>#REF!</v>
      </c>
      <c r="M39" s="36" t="e">
        <f>IF(AND('Mapa final'!#REF!="Baja",'Mapa final'!#REF!="Leve"),CONCATENATE("R4C",'Mapa final'!#REF!),"")</f>
        <v>#REF!</v>
      </c>
      <c r="N39" s="36" t="e">
        <f>IF(AND('Mapa final'!#REF!="Baja",'Mapa final'!#REF!="Leve"),CONCATENATE("R4C",'Mapa final'!#REF!),"")</f>
        <v>#REF!</v>
      </c>
      <c r="O39" s="37" t="e">
        <f>IF(AND('Mapa final'!#REF!="Baja",'Mapa final'!#REF!="Leve"),CONCATENATE("R4C",'Mapa final'!#REF!),"")</f>
        <v>#REF!</v>
      </c>
      <c r="P39" s="26" t="str">
        <f>IF(AND('Mapa final'!$Z$26="Baja",'Mapa final'!$AB$26="Menor"),CONCATENATE("R4C",'Mapa final'!$P$26),"")</f>
        <v>R4C1</v>
      </c>
      <c r="Q39" s="27" t="str">
        <f>IF(AND('Mapa final'!$Z$27="Baja",'Mapa final'!$AB$27="Menor"),CONCATENATE("R4C",'Mapa final'!$P$27),"")</f>
        <v/>
      </c>
      <c r="R39" s="27" t="e">
        <f>IF(AND('Mapa final'!#REF!="Baja",'Mapa final'!#REF!="Menor"),CONCATENATE("R4C",'Mapa final'!#REF!),"")</f>
        <v>#REF!</v>
      </c>
      <c r="S39" s="27" t="e">
        <f>IF(AND('Mapa final'!#REF!="Baja",'Mapa final'!#REF!="Menor"),CONCATENATE("R4C",'Mapa final'!#REF!),"")</f>
        <v>#REF!</v>
      </c>
      <c r="T39" s="27" t="e">
        <f>IF(AND('Mapa final'!#REF!="Baja",'Mapa final'!#REF!="Menor"),CONCATENATE("R4C",'Mapa final'!#REF!),"")</f>
        <v>#REF!</v>
      </c>
      <c r="U39" s="28" t="e">
        <f>IF(AND('Mapa final'!#REF!="Baja",'Mapa final'!#REF!="Menor"),CONCATENATE("R4C",'Mapa final'!#REF!),"")</f>
        <v>#REF!</v>
      </c>
      <c r="V39" s="26" t="str">
        <f>IF(AND('Mapa final'!$Z$26="Baja",'Mapa final'!$AB$26="Moderado"),CONCATENATE("R4C",'Mapa final'!$P$26),"")</f>
        <v/>
      </c>
      <c r="W39" s="27" t="str">
        <f>IF(AND('Mapa final'!$Z$27="Baja",'Mapa final'!$AB$27="Moderado"),CONCATENATE("R4C",'Mapa final'!$P$27),"")</f>
        <v>R4C2</v>
      </c>
      <c r="X39" s="27" t="e">
        <f>IF(AND('Mapa final'!#REF!="Baja",'Mapa final'!#REF!="Moderado"),CONCATENATE("R4C",'Mapa final'!#REF!),"")</f>
        <v>#REF!</v>
      </c>
      <c r="Y39" s="27" t="e">
        <f>IF(AND('Mapa final'!#REF!="Baja",'Mapa final'!#REF!="Moderado"),CONCATENATE("R4C",'Mapa final'!#REF!),"")</f>
        <v>#REF!</v>
      </c>
      <c r="Z39" s="27" t="e">
        <f>IF(AND('Mapa final'!#REF!="Baja",'Mapa final'!#REF!="Moderado"),CONCATENATE("R4C",'Mapa final'!#REF!),"")</f>
        <v>#REF!</v>
      </c>
      <c r="AA39" s="28" t="e">
        <f>IF(AND('Mapa final'!#REF!="Baja",'Mapa final'!#REF!="Moderado"),CONCATENATE("R4C",'Mapa final'!#REF!),"")</f>
        <v>#REF!</v>
      </c>
      <c r="AB39" s="11" t="str">
        <f>IF(AND('Mapa final'!$Z$26="Baja",'Mapa final'!$AB$26="Mayor"),CONCATENATE("R4C",'Mapa final'!$P$26),"")</f>
        <v/>
      </c>
      <c r="AC39" s="12" t="str">
        <f>IF(AND('Mapa final'!$Z$27="Baja",'Mapa final'!$AB$27="Mayor"),CONCATENATE("R4C",'Mapa final'!$P$27),"")</f>
        <v/>
      </c>
      <c r="AD39" s="12" t="e">
        <f>IF(AND('Mapa final'!#REF!="Baja",'Mapa final'!#REF!="Mayor"),CONCATENATE("R4C",'Mapa final'!#REF!),"")</f>
        <v>#REF!</v>
      </c>
      <c r="AE39" s="12" t="e">
        <f>IF(AND('Mapa final'!#REF!="Baja",'Mapa final'!#REF!="Mayor"),CONCATENATE("R4C",'Mapa final'!#REF!),"")</f>
        <v>#REF!</v>
      </c>
      <c r="AF39" s="12" t="e">
        <f>IF(AND('Mapa final'!#REF!="Baja",'Mapa final'!#REF!="Mayor"),CONCATENATE("R4C",'Mapa final'!#REF!),"")</f>
        <v>#REF!</v>
      </c>
      <c r="AG39" s="13" t="e">
        <f>IF(AND('Mapa final'!#REF!="Baja",'Mapa final'!#REF!="Mayor"),CONCATENATE("R4C",'Mapa final'!#REF!),"")</f>
        <v>#REF!</v>
      </c>
      <c r="AH39" s="14" t="str">
        <f>IF(AND('Mapa final'!$Z$26="Baja",'Mapa final'!$AB$26="Catastrófico"),CONCATENATE("R4C",'Mapa final'!$P$26),"")</f>
        <v/>
      </c>
      <c r="AI39" s="15" t="str">
        <f>IF(AND('Mapa final'!$Z$27="Baja",'Mapa final'!$AB$27="Catastrófico"),CONCATENATE("R4C",'Mapa final'!$P$27),"")</f>
        <v/>
      </c>
      <c r="AJ39" s="15" t="e">
        <f>IF(AND('Mapa final'!#REF!="Baja",'Mapa final'!#REF!="Catastrófico"),CONCATENATE("R4C",'Mapa final'!#REF!),"")</f>
        <v>#REF!</v>
      </c>
      <c r="AK39" s="15" t="e">
        <f>IF(AND('Mapa final'!#REF!="Baja",'Mapa final'!#REF!="Catastrófico"),CONCATENATE("R4C",'Mapa final'!#REF!),"")</f>
        <v>#REF!</v>
      </c>
      <c r="AL39" s="15" t="e">
        <f>IF(AND('Mapa final'!#REF!="Baja",'Mapa final'!#REF!="Catastrófico"),CONCATENATE("R4C",'Mapa final'!#REF!),"")</f>
        <v>#REF!</v>
      </c>
      <c r="AM39" s="16" t="e">
        <f>IF(AND('Mapa final'!#REF!="Baja",'Mapa final'!#REF!="Catastrófico"),CONCATENATE("R4C",'Mapa final'!#REF!),"")</f>
        <v>#REF!</v>
      </c>
      <c r="AN39" s="42"/>
      <c r="AO39" s="370"/>
      <c r="AP39" s="371"/>
      <c r="AQ39" s="371"/>
      <c r="AR39" s="371"/>
      <c r="AS39" s="371"/>
      <c r="AT39" s="37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row>
    <row r="40" spans="1:80" ht="15" customHeight="1" x14ac:dyDescent="0.3">
      <c r="A40" s="42"/>
      <c r="B40" s="298"/>
      <c r="C40" s="298"/>
      <c r="D40" s="299"/>
      <c r="E40" s="339"/>
      <c r="F40" s="340"/>
      <c r="G40" s="340"/>
      <c r="H40" s="340"/>
      <c r="I40" s="340"/>
      <c r="J40" s="35" t="e">
        <f>IF(AND('Mapa final'!#REF!="Baja",'Mapa final'!#REF!="Leve"),CONCATENATE("R5C",'Mapa final'!#REF!),"")</f>
        <v>#REF!</v>
      </c>
      <c r="K40" s="36" t="e">
        <f>IF(AND('Mapa final'!#REF!="Baja",'Mapa final'!#REF!="Leve"),CONCATENATE("R5C",'Mapa final'!#REF!),"")</f>
        <v>#REF!</v>
      </c>
      <c r="L40" s="36" t="e">
        <f>IF(AND('Mapa final'!#REF!="Baja",'Mapa final'!#REF!="Leve"),CONCATENATE("R5C",'Mapa final'!#REF!),"")</f>
        <v>#REF!</v>
      </c>
      <c r="M40" s="36" t="e">
        <f>IF(AND('Mapa final'!#REF!="Baja",'Mapa final'!#REF!="Leve"),CONCATENATE("R5C",'Mapa final'!#REF!),"")</f>
        <v>#REF!</v>
      </c>
      <c r="N40" s="36" t="e">
        <f>IF(AND('Mapa final'!#REF!="Baja",'Mapa final'!#REF!="Leve"),CONCATENATE("R5C",'Mapa final'!#REF!),"")</f>
        <v>#REF!</v>
      </c>
      <c r="O40" s="37" t="e">
        <f>IF(AND('Mapa final'!#REF!="Baja",'Mapa final'!#REF!="Leve"),CONCATENATE("R5C",'Mapa final'!#REF!),"")</f>
        <v>#REF!</v>
      </c>
      <c r="P40" s="26" t="e">
        <f>IF(AND('Mapa final'!#REF!="Baja",'Mapa final'!#REF!="Menor"),CONCATENATE("R5C",'Mapa final'!#REF!),"")</f>
        <v>#REF!</v>
      </c>
      <c r="Q40" s="27" t="e">
        <f>IF(AND('Mapa final'!#REF!="Baja",'Mapa final'!#REF!="Menor"),CONCATENATE("R5C",'Mapa final'!#REF!),"")</f>
        <v>#REF!</v>
      </c>
      <c r="R40" s="27" t="e">
        <f>IF(AND('Mapa final'!#REF!="Baja",'Mapa final'!#REF!="Menor"),CONCATENATE("R5C",'Mapa final'!#REF!),"")</f>
        <v>#REF!</v>
      </c>
      <c r="S40" s="27" t="e">
        <f>IF(AND('Mapa final'!#REF!="Baja",'Mapa final'!#REF!="Menor"),CONCATENATE("R5C",'Mapa final'!#REF!),"")</f>
        <v>#REF!</v>
      </c>
      <c r="T40" s="27" t="e">
        <f>IF(AND('Mapa final'!#REF!="Baja",'Mapa final'!#REF!="Menor"),CONCATENATE("R5C",'Mapa final'!#REF!),"")</f>
        <v>#REF!</v>
      </c>
      <c r="U40" s="28" t="e">
        <f>IF(AND('Mapa final'!#REF!="Baja",'Mapa final'!#REF!="Menor"),CONCATENATE("R5C",'Mapa final'!#REF!),"")</f>
        <v>#REF!</v>
      </c>
      <c r="V40" s="26" t="e">
        <f>IF(AND('Mapa final'!#REF!="Baja",'Mapa final'!#REF!="Moderado"),CONCATENATE("R5C",'Mapa final'!#REF!),"")</f>
        <v>#REF!</v>
      </c>
      <c r="W40" s="27" t="e">
        <f>IF(AND('Mapa final'!#REF!="Baja",'Mapa final'!#REF!="Moderado"),CONCATENATE("R5C",'Mapa final'!#REF!),"")</f>
        <v>#REF!</v>
      </c>
      <c r="X40" s="27" t="e">
        <f>IF(AND('Mapa final'!#REF!="Baja",'Mapa final'!#REF!="Moderado"),CONCATENATE("R5C",'Mapa final'!#REF!),"")</f>
        <v>#REF!</v>
      </c>
      <c r="Y40" s="27" t="e">
        <f>IF(AND('Mapa final'!#REF!="Baja",'Mapa final'!#REF!="Moderado"),CONCATENATE("R5C",'Mapa final'!#REF!),"")</f>
        <v>#REF!</v>
      </c>
      <c r="Z40" s="27" t="e">
        <f>IF(AND('Mapa final'!#REF!="Baja",'Mapa final'!#REF!="Moderado"),CONCATENATE("R5C",'Mapa final'!#REF!),"")</f>
        <v>#REF!</v>
      </c>
      <c r="AA40" s="28" t="e">
        <f>IF(AND('Mapa final'!#REF!="Baja",'Mapa final'!#REF!="Moderado"),CONCATENATE("R5C",'Mapa final'!#REF!),"")</f>
        <v>#REF!</v>
      </c>
      <c r="AB40" s="11" t="e">
        <f>IF(AND('Mapa final'!#REF!="Baja",'Mapa final'!#REF!="Mayor"),CONCATENATE("R5C",'Mapa final'!#REF!),"")</f>
        <v>#REF!</v>
      </c>
      <c r="AC40" s="12" t="e">
        <f>IF(AND('Mapa final'!#REF!="Baja",'Mapa final'!#REF!="Mayor"),CONCATENATE("R5C",'Mapa final'!#REF!),"")</f>
        <v>#REF!</v>
      </c>
      <c r="AD40" s="12" t="e">
        <f>IF(AND('Mapa final'!#REF!="Baja",'Mapa final'!#REF!="Mayor"),CONCATENATE("R5C",'Mapa final'!#REF!),"")</f>
        <v>#REF!</v>
      </c>
      <c r="AE40" s="12" t="e">
        <f>IF(AND('Mapa final'!#REF!="Baja",'Mapa final'!#REF!="Mayor"),CONCATENATE("R5C",'Mapa final'!#REF!),"")</f>
        <v>#REF!</v>
      </c>
      <c r="AF40" s="12" t="e">
        <f>IF(AND('Mapa final'!#REF!="Baja",'Mapa final'!#REF!="Mayor"),CONCATENATE("R5C",'Mapa final'!#REF!),"")</f>
        <v>#REF!</v>
      </c>
      <c r="AG40" s="13" t="e">
        <f>IF(AND('Mapa final'!#REF!="Baja",'Mapa final'!#REF!="Mayor"),CONCATENATE("R5C",'Mapa final'!#REF!),"")</f>
        <v>#REF!</v>
      </c>
      <c r="AH40" s="14" t="e">
        <f>IF(AND('Mapa final'!#REF!="Baja",'Mapa final'!#REF!="Catastrófico"),CONCATENATE("R5C",'Mapa final'!#REF!),"")</f>
        <v>#REF!</v>
      </c>
      <c r="AI40" s="15" t="e">
        <f>IF(AND('Mapa final'!#REF!="Baja",'Mapa final'!#REF!="Catastrófico"),CONCATENATE("R5C",'Mapa final'!#REF!),"")</f>
        <v>#REF!</v>
      </c>
      <c r="AJ40" s="15" t="e">
        <f>IF(AND('Mapa final'!#REF!="Baja",'Mapa final'!#REF!="Catastrófico"),CONCATENATE("R5C",'Mapa final'!#REF!),"")</f>
        <v>#REF!</v>
      </c>
      <c r="AK40" s="15" t="e">
        <f>IF(AND('Mapa final'!#REF!="Baja",'Mapa final'!#REF!="Catastrófico"),CONCATENATE("R5C",'Mapa final'!#REF!),"")</f>
        <v>#REF!</v>
      </c>
      <c r="AL40" s="15" t="e">
        <f>IF(AND('Mapa final'!#REF!="Baja",'Mapa final'!#REF!="Catastrófico"),CONCATENATE("R5C",'Mapa final'!#REF!),"")</f>
        <v>#REF!</v>
      </c>
      <c r="AM40" s="16" t="e">
        <f>IF(AND('Mapa final'!#REF!="Baja",'Mapa final'!#REF!="Catastrófico"),CONCATENATE("R5C",'Mapa final'!#REF!),"")</f>
        <v>#REF!</v>
      </c>
      <c r="AN40" s="42"/>
      <c r="AO40" s="370"/>
      <c r="AP40" s="371"/>
      <c r="AQ40" s="371"/>
      <c r="AR40" s="371"/>
      <c r="AS40" s="371"/>
      <c r="AT40" s="37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row>
    <row r="41" spans="1:80" ht="15" customHeight="1" x14ac:dyDescent="0.3">
      <c r="A41" s="42"/>
      <c r="B41" s="298"/>
      <c r="C41" s="298"/>
      <c r="D41" s="299"/>
      <c r="E41" s="339"/>
      <c r="F41" s="340"/>
      <c r="G41" s="340"/>
      <c r="H41" s="340"/>
      <c r="I41" s="340"/>
      <c r="J41" s="35" t="e">
        <f>IF(AND('Mapa final'!#REF!="Baja",'Mapa final'!#REF!="Leve"),CONCATENATE("R6C",'Mapa final'!#REF!),"")</f>
        <v>#REF!</v>
      </c>
      <c r="K41" s="36" t="e">
        <f>IF(AND('Mapa final'!#REF!="Baja",'Mapa final'!#REF!="Leve"),CONCATENATE("R6C",'Mapa final'!#REF!),"")</f>
        <v>#REF!</v>
      </c>
      <c r="L41" s="36" t="e">
        <f>IF(AND('Mapa final'!#REF!="Baja",'Mapa final'!#REF!="Leve"),CONCATENATE("R6C",'Mapa final'!#REF!),"")</f>
        <v>#REF!</v>
      </c>
      <c r="M41" s="36" t="e">
        <f>IF(AND('Mapa final'!#REF!="Baja",'Mapa final'!#REF!="Leve"),CONCATENATE("R6C",'Mapa final'!#REF!),"")</f>
        <v>#REF!</v>
      </c>
      <c r="N41" s="36" t="e">
        <f>IF(AND('Mapa final'!#REF!="Baja",'Mapa final'!#REF!="Leve"),CONCATENATE("R6C",'Mapa final'!#REF!),"")</f>
        <v>#REF!</v>
      </c>
      <c r="O41" s="37" t="e">
        <f>IF(AND('Mapa final'!#REF!="Baja",'Mapa final'!#REF!="Leve"),CONCATENATE("R6C",'Mapa final'!#REF!),"")</f>
        <v>#REF!</v>
      </c>
      <c r="P41" s="26" t="e">
        <f>IF(AND('Mapa final'!#REF!="Baja",'Mapa final'!#REF!="Menor"),CONCATENATE("R6C",'Mapa final'!#REF!),"")</f>
        <v>#REF!</v>
      </c>
      <c r="Q41" s="27" t="e">
        <f>IF(AND('Mapa final'!#REF!="Baja",'Mapa final'!#REF!="Menor"),CONCATENATE("R6C",'Mapa final'!#REF!),"")</f>
        <v>#REF!</v>
      </c>
      <c r="R41" s="27" t="e">
        <f>IF(AND('Mapa final'!#REF!="Baja",'Mapa final'!#REF!="Menor"),CONCATENATE("R6C",'Mapa final'!#REF!),"")</f>
        <v>#REF!</v>
      </c>
      <c r="S41" s="27" t="e">
        <f>IF(AND('Mapa final'!#REF!="Baja",'Mapa final'!#REF!="Menor"),CONCATENATE("R6C",'Mapa final'!#REF!),"")</f>
        <v>#REF!</v>
      </c>
      <c r="T41" s="27" t="e">
        <f>IF(AND('Mapa final'!#REF!="Baja",'Mapa final'!#REF!="Menor"),CONCATENATE("R6C",'Mapa final'!#REF!),"")</f>
        <v>#REF!</v>
      </c>
      <c r="U41" s="28" t="e">
        <f>IF(AND('Mapa final'!#REF!="Baja",'Mapa final'!#REF!="Menor"),CONCATENATE("R6C",'Mapa final'!#REF!),"")</f>
        <v>#REF!</v>
      </c>
      <c r="V41" s="26" t="e">
        <f>IF(AND('Mapa final'!#REF!="Baja",'Mapa final'!#REF!="Moderado"),CONCATENATE("R6C",'Mapa final'!#REF!),"")</f>
        <v>#REF!</v>
      </c>
      <c r="W41" s="27" t="e">
        <f>IF(AND('Mapa final'!#REF!="Baja",'Mapa final'!#REF!="Moderado"),CONCATENATE("R6C",'Mapa final'!#REF!),"")</f>
        <v>#REF!</v>
      </c>
      <c r="X41" s="27" t="e">
        <f>IF(AND('Mapa final'!#REF!="Baja",'Mapa final'!#REF!="Moderado"),CONCATENATE("R6C",'Mapa final'!#REF!),"")</f>
        <v>#REF!</v>
      </c>
      <c r="Y41" s="27" t="e">
        <f>IF(AND('Mapa final'!#REF!="Baja",'Mapa final'!#REF!="Moderado"),CONCATENATE("R6C",'Mapa final'!#REF!),"")</f>
        <v>#REF!</v>
      </c>
      <c r="Z41" s="27" t="e">
        <f>IF(AND('Mapa final'!#REF!="Baja",'Mapa final'!#REF!="Moderado"),CONCATENATE("R6C",'Mapa final'!#REF!),"")</f>
        <v>#REF!</v>
      </c>
      <c r="AA41" s="28" t="e">
        <f>IF(AND('Mapa final'!#REF!="Baja",'Mapa final'!#REF!="Moderado"),CONCATENATE("R6C",'Mapa final'!#REF!),"")</f>
        <v>#REF!</v>
      </c>
      <c r="AB41" s="11" t="e">
        <f>IF(AND('Mapa final'!#REF!="Baja",'Mapa final'!#REF!="Mayor"),CONCATENATE("R6C",'Mapa final'!#REF!),"")</f>
        <v>#REF!</v>
      </c>
      <c r="AC41" s="12" t="e">
        <f>IF(AND('Mapa final'!#REF!="Baja",'Mapa final'!#REF!="Mayor"),CONCATENATE("R6C",'Mapa final'!#REF!),"")</f>
        <v>#REF!</v>
      </c>
      <c r="AD41" s="12" t="e">
        <f>IF(AND('Mapa final'!#REF!="Baja",'Mapa final'!#REF!="Mayor"),CONCATENATE("R6C",'Mapa final'!#REF!),"")</f>
        <v>#REF!</v>
      </c>
      <c r="AE41" s="12" t="e">
        <f>IF(AND('Mapa final'!#REF!="Baja",'Mapa final'!#REF!="Mayor"),CONCATENATE("R6C",'Mapa final'!#REF!),"")</f>
        <v>#REF!</v>
      </c>
      <c r="AF41" s="12" t="e">
        <f>IF(AND('Mapa final'!#REF!="Baja",'Mapa final'!#REF!="Mayor"),CONCATENATE("R6C",'Mapa final'!#REF!),"")</f>
        <v>#REF!</v>
      </c>
      <c r="AG41" s="13" t="e">
        <f>IF(AND('Mapa final'!#REF!="Baja",'Mapa final'!#REF!="Mayor"),CONCATENATE("R6C",'Mapa final'!#REF!),"")</f>
        <v>#REF!</v>
      </c>
      <c r="AH41" s="14" t="e">
        <f>IF(AND('Mapa final'!#REF!="Baja",'Mapa final'!#REF!="Catastrófico"),CONCATENATE("R6C",'Mapa final'!#REF!),"")</f>
        <v>#REF!</v>
      </c>
      <c r="AI41" s="15" t="e">
        <f>IF(AND('Mapa final'!#REF!="Baja",'Mapa final'!#REF!="Catastrófico"),CONCATENATE("R6C",'Mapa final'!#REF!),"")</f>
        <v>#REF!</v>
      </c>
      <c r="AJ41" s="15" t="e">
        <f>IF(AND('Mapa final'!#REF!="Baja",'Mapa final'!#REF!="Catastrófico"),CONCATENATE("R6C",'Mapa final'!#REF!),"")</f>
        <v>#REF!</v>
      </c>
      <c r="AK41" s="15" t="e">
        <f>IF(AND('Mapa final'!#REF!="Baja",'Mapa final'!#REF!="Catastrófico"),CONCATENATE("R6C",'Mapa final'!#REF!),"")</f>
        <v>#REF!</v>
      </c>
      <c r="AL41" s="15" t="e">
        <f>IF(AND('Mapa final'!#REF!="Baja",'Mapa final'!#REF!="Catastrófico"),CONCATENATE("R6C",'Mapa final'!#REF!),"")</f>
        <v>#REF!</v>
      </c>
      <c r="AM41" s="16" t="e">
        <f>IF(AND('Mapa final'!#REF!="Baja",'Mapa final'!#REF!="Catastrófico"),CONCATENATE("R6C",'Mapa final'!#REF!),"")</f>
        <v>#REF!</v>
      </c>
      <c r="AN41" s="42"/>
      <c r="AO41" s="370"/>
      <c r="AP41" s="371"/>
      <c r="AQ41" s="371"/>
      <c r="AR41" s="371"/>
      <c r="AS41" s="371"/>
      <c r="AT41" s="37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row>
    <row r="42" spans="1:80" ht="15" customHeight="1" x14ac:dyDescent="0.3">
      <c r="A42" s="42"/>
      <c r="B42" s="298"/>
      <c r="C42" s="298"/>
      <c r="D42" s="299"/>
      <c r="E42" s="339"/>
      <c r="F42" s="340"/>
      <c r="G42" s="340"/>
      <c r="H42" s="340"/>
      <c r="I42" s="340"/>
      <c r="J42" s="35" t="e">
        <f>IF(AND('Mapa final'!#REF!="Baja",'Mapa final'!#REF!="Leve"),CONCATENATE("R7C",'Mapa final'!#REF!),"")</f>
        <v>#REF!</v>
      </c>
      <c r="K42" s="36" t="e">
        <f>IF(AND('Mapa final'!#REF!="Baja",'Mapa final'!#REF!="Leve"),CONCATENATE("R7C",'Mapa final'!#REF!),"")</f>
        <v>#REF!</v>
      </c>
      <c r="L42" s="36" t="e">
        <f>IF(AND('Mapa final'!#REF!="Baja",'Mapa final'!#REF!="Leve"),CONCATENATE("R7C",'Mapa final'!#REF!),"")</f>
        <v>#REF!</v>
      </c>
      <c r="M42" s="36" t="e">
        <f>IF(AND('Mapa final'!#REF!="Baja",'Mapa final'!#REF!="Leve"),CONCATENATE("R7C",'Mapa final'!#REF!),"")</f>
        <v>#REF!</v>
      </c>
      <c r="N42" s="36" t="e">
        <f>IF(AND('Mapa final'!#REF!="Baja",'Mapa final'!#REF!="Leve"),CONCATENATE("R7C",'Mapa final'!#REF!),"")</f>
        <v>#REF!</v>
      </c>
      <c r="O42" s="37" t="e">
        <f>IF(AND('Mapa final'!#REF!="Baja",'Mapa final'!#REF!="Leve"),CONCATENATE("R7C",'Mapa final'!#REF!),"")</f>
        <v>#REF!</v>
      </c>
      <c r="P42" s="26" t="e">
        <f>IF(AND('Mapa final'!#REF!="Baja",'Mapa final'!#REF!="Menor"),CONCATENATE("R7C",'Mapa final'!#REF!),"")</f>
        <v>#REF!</v>
      </c>
      <c r="Q42" s="27" t="e">
        <f>IF(AND('Mapa final'!#REF!="Baja",'Mapa final'!#REF!="Menor"),CONCATENATE("R7C",'Mapa final'!#REF!),"")</f>
        <v>#REF!</v>
      </c>
      <c r="R42" s="27" t="e">
        <f>IF(AND('Mapa final'!#REF!="Baja",'Mapa final'!#REF!="Menor"),CONCATENATE("R7C",'Mapa final'!#REF!),"")</f>
        <v>#REF!</v>
      </c>
      <c r="S42" s="27" t="e">
        <f>IF(AND('Mapa final'!#REF!="Baja",'Mapa final'!#REF!="Menor"),CONCATENATE("R7C",'Mapa final'!#REF!),"")</f>
        <v>#REF!</v>
      </c>
      <c r="T42" s="27" t="e">
        <f>IF(AND('Mapa final'!#REF!="Baja",'Mapa final'!#REF!="Menor"),CONCATENATE("R7C",'Mapa final'!#REF!),"")</f>
        <v>#REF!</v>
      </c>
      <c r="U42" s="28" t="e">
        <f>IF(AND('Mapa final'!#REF!="Baja",'Mapa final'!#REF!="Menor"),CONCATENATE("R7C",'Mapa final'!#REF!),"")</f>
        <v>#REF!</v>
      </c>
      <c r="V42" s="26" t="e">
        <f>IF(AND('Mapa final'!#REF!="Baja",'Mapa final'!#REF!="Moderado"),CONCATENATE("R7C",'Mapa final'!#REF!),"")</f>
        <v>#REF!</v>
      </c>
      <c r="W42" s="27" t="e">
        <f>IF(AND('Mapa final'!#REF!="Baja",'Mapa final'!#REF!="Moderado"),CONCATENATE("R7C",'Mapa final'!#REF!),"")</f>
        <v>#REF!</v>
      </c>
      <c r="X42" s="27" t="e">
        <f>IF(AND('Mapa final'!#REF!="Baja",'Mapa final'!#REF!="Moderado"),CONCATENATE("R7C",'Mapa final'!#REF!),"")</f>
        <v>#REF!</v>
      </c>
      <c r="Y42" s="27" t="e">
        <f>IF(AND('Mapa final'!#REF!="Baja",'Mapa final'!#REF!="Moderado"),CONCATENATE("R7C",'Mapa final'!#REF!),"")</f>
        <v>#REF!</v>
      </c>
      <c r="Z42" s="27" t="e">
        <f>IF(AND('Mapa final'!#REF!="Baja",'Mapa final'!#REF!="Moderado"),CONCATENATE("R7C",'Mapa final'!#REF!),"")</f>
        <v>#REF!</v>
      </c>
      <c r="AA42" s="28" t="e">
        <f>IF(AND('Mapa final'!#REF!="Baja",'Mapa final'!#REF!="Moderado"),CONCATENATE("R7C",'Mapa final'!#REF!),"")</f>
        <v>#REF!</v>
      </c>
      <c r="AB42" s="11" t="e">
        <f>IF(AND('Mapa final'!#REF!="Baja",'Mapa final'!#REF!="Mayor"),CONCATENATE("R7C",'Mapa final'!#REF!),"")</f>
        <v>#REF!</v>
      </c>
      <c r="AC42" s="12" t="e">
        <f>IF(AND('Mapa final'!#REF!="Baja",'Mapa final'!#REF!="Mayor"),CONCATENATE("R7C",'Mapa final'!#REF!),"")</f>
        <v>#REF!</v>
      </c>
      <c r="AD42" s="12" t="e">
        <f>IF(AND('Mapa final'!#REF!="Baja",'Mapa final'!#REF!="Mayor"),CONCATENATE("R7C",'Mapa final'!#REF!),"")</f>
        <v>#REF!</v>
      </c>
      <c r="AE42" s="12" t="e">
        <f>IF(AND('Mapa final'!#REF!="Baja",'Mapa final'!#REF!="Mayor"),CONCATENATE("R7C",'Mapa final'!#REF!),"")</f>
        <v>#REF!</v>
      </c>
      <c r="AF42" s="12" t="e">
        <f>IF(AND('Mapa final'!#REF!="Baja",'Mapa final'!#REF!="Mayor"),CONCATENATE("R7C",'Mapa final'!#REF!),"")</f>
        <v>#REF!</v>
      </c>
      <c r="AG42" s="13" t="e">
        <f>IF(AND('Mapa final'!#REF!="Baja",'Mapa final'!#REF!="Mayor"),CONCATENATE("R7C",'Mapa final'!#REF!),"")</f>
        <v>#REF!</v>
      </c>
      <c r="AH42" s="14" t="e">
        <f>IF(AND('Mapa final'!#REF!="Baja",'Mapa final'!#REF!="Catastrófico"),CONCATENATE("R7C",'Mapa final'!#REF!),"")</f>
        <v>#REF!</v>
      </c>
      <c r="AI42" s="15" t="e">
        <f>IF(AND('Mapa final'!#REF!="Baja",'Mapa final'!#REF!="Catastrófico"),CONCATENATE("R7C",'Mapa final'!#REF!),"")</f>
        <v>#REF!</v>
      </c>
      <c r="AJ42" s="15" t="e">
        <f>IF(AND('Mapa final'!#REF!="Baja",'Mapa final'!#REF!="Catastrófico"),CONCATENATE("R7C",'Mapa final'!#REF!),"")</f>
        <v>#REF!</v>
      </c>
      <c r="AK42" s="15" t="e">
        <f>IF(AND('Mapa final'!#REF!="Baja",'Mapa final'!#REF!="Catastrófico"),CONCATENATE("R7C",'Mapa final'!#REF!),"")</f>
        <v>#REF!</v>
      </c>
      <c r="AL42" s="15" t="e">
        <f>IF(AND('Mapa final'!#REF!="Baja",'Mapa final'!#REF!="Catastrófico"),CONCATENATE("R7C",'Mapa final'!#REF!),"")</f>
        <v>#REF!</v>
      </c>
      <c r="AM42" s="16" t="e">
        <f>IF(AND('Mapa final'!#REF!="Baja",'Mapa final'!#REF!="Catastrófico"),CONCATENATE("R7C",'Mapa final'!#REF!),"")</f>
        <v>#REF!</v>
      </c>
      <c r="AN42" s="42"/>
      <c r="AO42" s="370"/>
      <c r="AP42" s="371"/>
      <c r="AQ42" s="371"/>
      <c r="AR42" s="371"/>
      <c r="AS42" s="371"/>
      <c r="AT42" s="37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row>
    <row r="43" spans="1:80" ht="15" customHeight="1" x14ac:dyDescent="0.3">
      <c r="A43" s="42"/>
      <c r="B43" s="298"/>
      <c r="C43" s="298"/>
      <c r="D43" s="299"/>
      <c r="E43" s="339"/>
      <c r="F43" s="340"/>
      <c r="G43" s="340"/>
      <c r="H43" s="340"/>
      <c r="I43" s="340"/>
      <c r="J43" s="35" t="e">
        <f>IF(AND('Mapa final'!#REF!="Baja",'Mapa final'!#REF!="Leve"),CONCATENATE("R8C",'Mapa final'!#REF!),"")</f>
        <v>#REF!</v>
      </c>
      <c r="K43" s="36" t="e">
        <f>IF(AND('Mapa final'!#REF!="Baja",'Mapa final'!#REF!="Leve"),CONCATENATE("R8C",'Mapa final'!#REF!),"")</f>
        <v>#REF!</v>
      </c>
      <c r="L43" s="36" t="e">
        <f>IF(AND('Mapa final'!#REF!="Baja",'Mapa final'!#REF!="Leve"),CONCATENATE("R8C",'Mapa final'!#REF!),"")</f>
        <v>#REF!</v>
      </c>
      <c r="M43" s="36" t="e">
        <f>IF(AND('Mapa final'!#REF!="Baja",'Mapa final'!#REF!="Leve"),CONCATENATE("R8C",'Mapa final'!#REF!),"")</f>
        <v>#REF!</v>
      </c>
      <c r="N43" s="36" t="e">
        <f>IF(AND('Mapa final'!#REF!="Baja",'Mapa final'!#REF!="Leve"),CONCATENATE("R8C",'Mapa final'!#REF!),"")</f>
        <v>#REF!</v>
      </c>
      <c r="O43" s="37" t="e">
        <f>IF(AND('Mapa final'!#REF!="Baja",'Mapa final'!#REF!="Leve"),CONCATENATE("R8C",'Mapa final'!#REF!),"")</f>
        <v>#REF!</v>
      </c>
      <c r="P43" s="26" t="e">
        <f>IF(AND('Mapa final'!#REF!="Baja",'Mapa final'!#REF!="Menor"),CONCATENATE("R8C",'Mapa final'!#REF!),"")</f>
        <v>#REF!</v>
      </c>
      <c r="Q43" s="27" t="e">
        <f>IF(AND('Mapa final'!#REF!="Baja",'Mapa final'!#REF!="Menor"),CONCATENATE("R8C",'Mapa final'!#REF!),"")</f>
        <v>#REF!</v>
      </c>
      <c r="R43" s="27" t="e">
        <f>IF(AND('Mapa final'!#REF!="Baja",'Mapa final'!#REF!="Menor"),CONCATENATE("R8C",'Mapa final'!#REF!),"")</f>
        <v>#REF!</v>
      </c>
      <c r="S43" s="27" t="e">
        <f>IF(AND('Mapa final'!#REF!="Baja",'Mapa final'!#REF!="Menor"),CONCATENATE("R8C",'Mapa final'!#REF!),"")</f>
        <v>#REF!</v>
      </c>
      <c r="T43" s="27" t="e">
        <f>IF(AND('Mapa final'!#REF!="Baja",'Mapa final'!#REF!="Menor"),CONCATENATE("R8C",'Mapa final'!#REF!),"")</f>
        <v>#REF!</v>
      </c>
      <c r="U43" s="28" t="e">
        <f>IF(AND('Mapa final'!#REF!="Baja",'Mapa final'!#REF!="Menor"),CONCATENATE("R8C",'Mapa final'!#REF!),"")</f>
        <v>#REF!</v>
      </c>
      <c r="V43" s="26" t="e">
        <f>IF(AND('Mapa final'!#REF!="Baja",'Mapa final'!#REF!="Moderado"),CONCATENATE("R8C",'Mapa final'!#REF!),"")</f>
        <v>#REF!</v>
      </c>
      <c r="W43" s="27" t="e">
        <f>IF(AND('Mapa final'!#REF!="Baja",'Mapa final'!#REF!="Moderado"),CONCATENATE("R8C",'Mapa final'!#REF!),"")</f>
        <v>#REF!</v>
      </c>
      <c r="X43" s="27" t="e">
        <f>IF(AND('Mapa final'!#REF!="Baja",'Mapa final'!#REF!="Moderado"),CONCATENATE("R8C",'Mapa final'!#REF!),"")</f>
        <v>#REF!</v>
      </c>
      <c r="Y43" s="27" t="e">
        <f>IF(AND('Mapa final'!#REF!="Baja",'Mapa final'!#REF!="Moderado"),CONCATENATE("R8C",'Mapa final'!#REF!),"")</f>
        <v>#REF!</v>
      </c>
      <c r="Z43" s="27" t="e">
        <f>IF(AND('Mapa final'!#REF!="Baja",'Mapa final'!#REF!="Moderado"),CONCATENATE("R8C",'Mapa final'!#REF!),"")</f>
        <v>#REF!</v>
      </c>
      <c r="AA43" s="28" t="e">
        <f>IF(AND('Mapa final'!#REF!="Baja",'Mapa final'!#REF!="Moderado"),CONCATENATE("R8C",'Mapa final'!#REF!),"")</f>
        <v>#REF!</v>
      </c>
      <c r="AB43" s="11" t="e">
        <f>IF(AND('Mapa final'!#REF!="Baja",'Mapa final'!#REF!="Mayor"),CONCATENATE("R8C",'Mapa final'!#REF!),"")</f>
        <v>#REF!</v>
      </c>
      <c r="AC43" s="12" t="e">
        <f>IF(AND('Mapa final'!#REF!="Baja",'Mapa final'!#REF!="Mayor"),CONCATENATE("R8C",'Mapa final'!#REF!),"")</f>
        <v>#REF!</v>
      </c>
      <c r="AD43" s="12" t="e">
        <f>IF(AND('Mapa final'!#REF!="Baja",'Mapa final'!#REF!="Mayor"),CONCATENATE("R8C",'Mapa final'!#REF!),"")</f>
        <v>#REF!</v>
      </c>
      <c r="AE43" s="12" t="e">
        <f>IF(AND('Mapa final'!#REF!="Baja",'Mapa final'!#REF!="Mayor"),CONCATENATE("R8C",'Mapa final'!#REF!),"")</f>
        <v>#REF!</v>
      </c>
      <c r="AF43" s="12" t="e">
        <f>IF(AND('Mapa final'!#REF!="Baja",'Mapa final'!#REF!="Mayor"),CONCATENATE("R8C",'Mapa final'!#REF!),"")</f>
        <v>#REF!</v>
      </c>
      <c r="AG43" s="13" t="e">
        <f>IF(AND('Mapa final'!#REF!="Baja",'Mapa final'!#REF!="Mayor"),CONCATENATE("R8C",'Mapa final'!#REF!),"")</f>
        <v>#REF!</v>
      </c>
      <c r="AH43" s="14" t="e">
        <f>IF(AND('Mapa final'!#REF!="Baja",'Mapa final'!#REF!="Catastrófico"),CONCATENATE("R8C",'Mapa final'!#REF!),"")</f>
        <v>#REF!</v>
      </c>
      <c r="AI43" s="15" t="e">
        <f>IF(AND('Mapa final'!#REF!="Baja",'Mapa final'!#REF!="Catastrófico"),CONCATENATE("R8C",'Mapa final'!#REF!),"")</f>
        <v>#REF!</v>
      </c>
      <c r="AJ43" s="15" t="e">
        <f>IF(AND('Mapa final'!#REF!="Baja",'Mapa final'!#REF!="Catastrófico"),CONCATENATE("R8C",'Mapa final'!#REF!),"")</f>
        <v>#REF!</v>
      </c>
      <c r="AK43" s="15" t="e">
        <f>IF(AND('Mapa final'!#REF!="Baja",'Mapa final'!#REF!="Catastrófico"),CONCATENATE("R8C",'Mapa final'!#REF!),"")</f>
        <v>#REF!</v>
      </c>
      <c r="AL43" s="15" t="e">
        <f>IF(AND('Mapa final'!#REF!="Baja",'Mapa final'!#REF!="Catastrófico"),CONCATENATE("R8C",'Mapa final'!#REF!),"")</f>
        <v>#REF!</v>
      </c>
      <c r="AM43" s="16" t="e">
        <f>IF(AND('Mapa final'!#REF!="Baja",'Mapa final'!#REF!="Catastrófico"),CONCATENATE("R8C",'Mapa final'!#REF!),"")</f>
        <v>#REF!</v>
      </c>
      <c r="AN43" s="42"/>
      <c r="AO43" s="370"/>
      <c r="AP43" s="371"/>
      <c r="AQ43" s="371"/>
      <c r="AR43" s="371"/>
      <c r="AS43" s="371"/>
      <c r="AT43" s="37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row>
    <row r="44" spans="1:80" ht="15" customHeight="1" x14ac:dyDescent="0.3">
      <c r="A44" s="42"/>
      <c r="B44" s="298"/>
      <c r="C44" s="298"/>
      <c r="D44" s="299"/>
      <c r="E44" s="339"/>
      <c r="F44" s="340"/>
      <c r="G44" s="340"/>
      <c r="H44" s="340"/>
      <c r="I44" s="340"/>
      <c r="J44" s="35" t="e">
        <f>IF(AND('Mapa final'!#REF!="Baja",'Mapa final'!#REF!="Leve"),CONCATENATE("R9C",'Mapa final'!#REF!),"")</f>
        <v>#REF!</v>
      </c>
      <c r="K44" s="36" t="e">
        <f>IF(AND('Mapa final'!#REF!="Baja",'Mapa final'!#REF!="Leve"),CONCATENATE("R9C",'Mapa final'!#REF!),"")</f>
        <v>#REF!</v>
      </c>
      <c r="L44" s="36" t="e">
        <f>IF(AND('Mapa final'!#REF!="Baja",'Mapa final'!#REF!="Leve"),CONCATENATE("R9C",'Mapa final'!#REF!),"")</f>
        <v>#REF!</v>
      </c>
      <c r="M44" s="36" t="e">
        <f>IF(AND('Mapa final'!#REF!="Baja",'Mapa final'!#REF!="Leve"),CONCATENATE("R9C",'Mapa final'!#REF!),"")</f>
        <v>#REF!</v>
      </c>
      <c r="N44" s="36" t="e">
        <f>IF(AND('Mapa final'!#REF!="Baja",'Mapa final'!#REF!="Leve"),CONCATENATE("R9C",'Mapa final'!#REF!),"")</f>
        <v>#REF!</v>
      </c>
      <c r="O44" s="37" t="e">
        <f>IF(AND('Mapa final'!#REF!="Baja",'Mapa final'!#REF!="Leve"),CONCATENATE("R9C",'Mapa final'!#REF!),"")</f>
        <v>#REF!</v>
      </c>
      <c r="P44" s="26" t="e">
        <f>IF(AND('Mapa final'!#REF!="Baja",'Mapa final'!#REF!="Menor"),CONCATENATE("R9C",'Mapa final'!#REF!),"")</f>
        <v>#REF!</v>
      </c>
      <c r="Q44" s="27" t="e">
        <f>IF(AND('Mapa final'!#REF!="Baja",'Mapa final'!#REF!="Menor"),CONCATENATE("R9C",'Mapa final'!#REF!),"")</f>
        <v>#REF!</v>
      </c>
      <c r="R44" s="27" t="e">
        <f>IF(AND('Mapa final'!#REF!="Baja",'Mapa final'!#REF!="Menor"),CONCATENATE("R9C",'Mapa final'!#REF!),"")</f>
        <v>#REF!</v>
      </c>
      <c r="S44" s="27" t="e">
        <f>IF(AND('Mapa final'!#REF!="Baja",'Mapa final'!#REF!="Menor"),CONCATENATE("R9C",'Mapa final'!#REF!),"")</f>
        <v>#REF!</v>
      </c>
      <c r="T44" s="27" t="e">
        <f>IF(AND('Mapa final'!#REF!="Baja",'Mapa final'!#REF!="Menor"),CONCATENATE("R9C",'Mapa final'!#REF!),"")</f>
        <v>#REF!</v>
      </c>
      <c r="U44" s="28" t="e">
        <f>IF(AND('Mapa final'!#REF!="Baja",'Mapa final'!#REF!="Menor"),CONCATENATE("R9C",'Mapa final'!#REF!),"")</f>
        <v>#REF!</v>
      </c>
      <c r="V44" s="26" t="e">
        <f>IF(AND('Mapa final'!#REF!="Baja",'Mapa final'!#REF!="Moderado"),CONCATENATE("R9C",'Mapa final'!#REF!),"")</f>
        <v>#REF!</v>
      </c>
      <c r="W44" s="27" t="e">
        <f>IF(AND('Mapa final'!#REF!="Baja",'Mapa final'!#REF!="Moderado"),CONCATENATE("R9C",'Mapa final'!#REF!),"")</f>
        <v>#REF!</v>
      </c>
      <c r="X44" s="27" t="e">
        <f>IF(AND('Mapa final'!#REF!="Baja",'Mapa final'!#REF!="Moderado"),CONCATENATE("R9C",'Mapa final'!#REF!),"")</f>
        <v>#REF!</v>
      </c>
      <c r="Y44" s="27" t="e">
        <f>IF(AND('Mapa final'!#REF!="Baja",'Mapa final'!#REF!="Moderado"),CONCATENATE("R9C",'Mapa final'!#REF!),"")</f>
        <v>#REF!</v>
      </c>
      <c r="Z44" s="27" t="e">
        <f>IF(AND('Mapa final'!#REF!="Baja",'Mapa final'!#REF!="Moderado"),CONCATENATE("R9C",'Mapa final'!#REF!),"")</f>
        <v>#REF!</v>
      </c>
      <c r="AA44" s="28" t="e">
        <f>IF(AND('Mapa final'!#REF!="Baja",'Mapa final'!#REF!="Moderado"),CONCATENATE("R9C",'Mapa final'!#REF!),"")</f>
        <v>#REF!</v>
      </c>
      <c r="AB44" s="11" t="e">
        <f>IF(AND('Mapa final'!#REF!="Baja",'Mapa final'!#REF!="Mayor"),CONCATENATE("R9C",'Mapa final'!#REF!),"")</f>
        <v>#REF!</v>
      </c>
      <c r="AC44" s="12" t="e">
        <f>IF(AND('Mapa final'!#REF!="Baja",'Mapa final'!#REF!="Mayor"),CONCATENATE("R9C",'Mapa final'!#REF!),"")</f>
        <v>#REF!</v>
      </c>
      <c r="AD44" s="12" t="e">
        <f>IF(AND('Mapa final'!#REF!="Baja",'Mapa final'!#REF!="Mayor"),CONCATENATE("R9C",'Mapa final'!#REF!),"")</f>
        <v>#REF!</v>
      </c>
      <c r="AE44" s="12" t="e">
        <f>IF(AND('Mapa final'!#REF!="Baja",'Mapa final'!#REF!="Mayor"),CONCATENATE("R9C",'Mapa final'!#REF!),"")</f>
        <v>#REF!</v>
      </c>
      <c r="AF44" s="12" t="e">
        <f>IF(AND('Mapa final'!#REF!="Baja",'Mapa final'!#REF!="Mayor"),CONCATENATE("R9C",'Mapa final'!#REF!),"")</f>
        <v>#REF!</v>
      </c>
      <c r="AG44" s="13" t="e">
        <f>IF(AND('Mapa final'!#REF!="Baja",'Mapa final'!#REF!="Mayor"),CONCATENATE("R9C",'Mapa final'!#REF!),"")</f>
        <v>#REF!</v>
      </c>
      <c r="AH44" s="14" t="e">
        <f>IF(AND('Mapa final'!#REF!="Baja",'Mapa final'!#REF!="Catastrófico"),CONCATENATE("R9C",'Mapa final'!#REF!),"")</f>
        <v>#REF!</v>
      </c>
      <c r="AI44" s="15" t="e">
        <f>IF(AND('Mapa final'!#REF!="Baja",'Mapa final'!#REF!="Catastrófico"),CONCATENATE("R9C",'Mapa final'!#REF!),"")</f>
        <v>#REF!</v>
      </c>
      <c r="AJ44" s="15" t="e">
        <f>IF(AND('Mapa final'!#REF!="Baja",'Mapa final'!#REF!="Catastrófico"),CONCATENATE("R9C",'Mapa final'!#REF!),"")</f>
        <v>#REF!</v>
      </c>
      <c r="AK44" s="15" t="e">
        <f>IF(AND('Mapa final'!#REF!="Baja",'Mapa final'!#REF!="Catastrófico"),CONCATENATE("R9C",'Mapa final'!#REF!),"")</f>
        <v>#REF!</v>
      </c>
      <c r="AL44" s="15" t="e">
        <f>IF(AND('Mapa final'!#REF!="Baja",'Mapa final'!#REF!="Catastrófico"),CONCATENATE("R9C",'Mapa final'!#REF!),"")</f>
        <v>#REF!</v>
      </c>
      <c r="AM44" s="16" t="e">
        <f>IF(AND('Mapa final'!#REF!="Baja",'Mapa final'!#REF!="Catastrófico"),CONCATENATE("R9C",'Mapa final'!#REF!),"")</f>
        <v>#REF!</v>
      </c>
      <c r="AN44" s="42"/>
      <c r="AO44" s="370"/>
      <c r="AP44" s="371"/>
      <c r="AQ44" s="371"/>
      <c r="AR44" s="371"/>
      <c r="AS44" s="371"/>
      <c r="AT44" s="37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row>
    <row r="45" spans="1:80" ht="16.2" customHeight="1" thickBot="1" x14ac:dyDescent="0.35">
      <c r="A45" s="42"/>
      <c r="B45" s="298"/>
      <c r="C45" s="298"/>
      <c r="D45" s="299"/>
      <c r="E45" s="342"/>
      <c r="F45" s="343"/>
      <c r="G45" s="343"/>
      <c r="H45" s="343"/>
      <c r="I45" s="343"/>
      <c r="J45" s="38" t="e">
        <f>IF(AND('Mapa final'!#REF!="Baja",'Mapa final'!#REF!="Leve"),CONCATENATE("R10C",'Mapa final'!#REF!),"")</f>
        <v>#REF!</v>
      </c>
      <c r="K45" s="39" t="e">
        <f>IF(AND('Mapa final'!#REF!="Baja",'Mapa final'!#REF!="Leve"),CONCATENATE("R10C",'Mapa final'!#REF!),"")</f>
        <v>#REF!</v>
      </c>
      <c r="L45" s="39" t="e">
        <f>IF(AND('Mapa final'!#REF!="Baja",'Mapa final'!#REF!="Leve"),CONCATENATE("R10C",'Mapa final'!#REF!),"")</f>
        <v>#REF!</v>
      </c>
      <c r="M45" s="39" t="e">
        <f>IF(AND('Mapa final'!#REF!="Baja",'Mapa final'!#REF!="Leve"),CONCATENATE("R10C",'Mapa final'!#REF!),"")</f>
        <v>#REF!</v>
      </c>
      <c r="N45" s="39" t="e">
        <f>IF(AND('Mapa final'!#REF!="Baja",'Mapa final'!#REF!="Leve"),CONCATENATE("R10C",'Mapa final'!#REF!),"")</f>
        <v>#REF!</v>
      </c>
      <c r="O45" s="40" t="e">
        <f>IF(AND('Mapa final'!#REF!="Baja",'Mapa final'!#REF!="Leve"),CONCATENATE("R10C",'Mapa final'!#REF!),"")</f>
        <v>#REF!</v>
      </c>
      <c r="P45" s="26" t="e">
        <f>IF(AND('Mapa final'!#REF!="Baja",'Mapa final'!#REF!="Menor"),CONCATENATE("R10C",'Mapa final'!#REF!),"")</f>
        <v>#REF!</v>
      </c>
      <c r="Q45" s="27" t="e">
        <f>IF(AND('Mapa final'!#REF!="Baja",'Mapa final'!#REF!="Menor"),CONCATENATE("R10C",'Mapa final'!#REF!),"")</f>
        <v>#REF!</v>
      </c>
      <c r="R45" s="27" t="e">
        <f>IF(AND('Mapa final'!#REF!="Baja",'Mapa final'!#REF!="Menor"),CONCATENATE("R10C",'Mapa final'!#REF!),"")</f>
        <v>#REF!</v>
      </c>
      <c r="S45" s="27" t="e">
        <f>IF(AND('Mapa final'!#REF!="Baja",'Mapa final'!#REF!="Menor"),CONCATENATE("R10C",'Mapa final'!#REF!),"")</f>
        <v>#REF!</v>
      </c>
      <c r="T45" s="27" t="e">
        <f>IF(AND('Mapa final'!#REF!="Baja",'Mapa final'!#REF!="Menor"),CONCATENATE("R10C",'Mapa final'!#REF!),"")</f>
        <v>#REF!</v>
      </c>
      <c r="U45" s="28" t="e">
        <f>IF(AND('Mapa final'!#REF!="Baja",'Mapa final'!#REF!="Menor"),CONCATENATE("R10C",'Mapa final'!#REF!),"")</f>
        <v>#REF!</v>
      </c>
      <c r="V45" s="29" t="e">
        <f>IF(AND('Mapa final'!#REF!="Baja",'Mapa final'!#REF!="Moderado"),CONCATENATE("R10C",'Mapa final'!#REF!),"")</f>
        <v>#REF!</v>
      </c>
      <c r="W45" s="30" t="e">
        <f>IF(AND('Mapa final'!#REF!="Baja",'Mapa final'!#REF!="Moderado"),CONCATENATE("R10C",'Mapa final'!#REF!),"")</f>
        <v>#REF!</v>
      </c>
      <c r="X45" s="30" t="e">
        <f>IF(AND('Mapa final'!#REF!="Baja",'Mapa final'!#REF!="Moderado"),CONCATENATE("R10C",'Mapa final'!#REF!),"")</f>
        <v>#REF!</v>
      </c>
      <c r="Y45" s="30" t="e">
        <f>IF(AND('Mapa final'!#REF!="Baja",'Mapa final'!#REF!="Moderado"),CONCATENATE("R10C",'Mapa final'!#REF!),"")</f>
        <v>#REF!</v>
      </c>
      <c r="Z45" s="30" t="e">
        <f>IF(AND('Mapa final'!#REF!="Baja",'Mapa final'!#REF!="Moderado"),CONCATENATE("R10C",'Mapa final'!#REF!),"")</f>
        <v>#REF!</v>
      </c>
      <c r="AA45" s="31" t="e">
        <f>IF(AND('Mapa final'!#REF!="Baja",'Mapa final'!#REF!="Moderado"),CONCATENATE("R10C",'Mapa final'!#REF!),"")</f>
        <v>#REF!</v>
      </c>
      <c r="AB45" s="17" t="e">
        <f>IF(AND('Mapa final'!#REF!="Baja",'Mapa final'!#REF!="Mayor"),CONCATENATE("R10C",'Mapa final'!#REF!),"")</f>
        <v>#REF!</v>
      </c>
      <c r="AC45" s="18" t="e">
        <f>IF(AND('Mapa final'!#REF!="Baja",'Mapa final'!#REF!="Mayor"),CONCATENATE("R10C",'Mapa final'!#REF!),"")</f>
        <v>#REF!</v>
      </c>
      <c r="AD45" s="18" t="e">
        <f>IF(AND('Mapa final'!#REF!="Baja",'Mapa final'!#REF!="Mayor"),CONCATENATE("R10C",'Mapa final'!#REF!),"")</f>
        <v>#REF!</v>
      </c>
      <c r="AE45" s="18" t="e">
        <f>IF(AND('Mapa final'!#REF!="Baja",'Mapa final'!#REF!="Mayor"),CONCATENATE("R10C",'Mapa final'!#REF!),"")</f>
        <v>#REF!</v>
      </c>
      <c r="AF45" s="18" t="e">
        <f>IF(AND('Mapa final'!#REF!="Baja",'Mapa final'!#REF!="Mayor"),CONCATENATE("R10C",'Mapa final'!#REF!),"")</f>
        <v>#REF!</v>
      </c>
      <c r="AG45" s="19" t="e">
        <f>IF(AND('Mapa final'!#REF!="Baja",'Mapa final'!#REF!="Mayor"),CONCATENATE("R10C",'Mapa final'!#REF!),"")</f>
        <v>#REF!</v>
      </c>
      <c r="AH45" s="20" t="e">
        <f>IF(AND('Mapa final'!#REF!="Baja",'Mapa final'!#REF!="Catastrófico"),CONCATENATE("R10C",'Mapa final'!#REF!),"")</f>
        <v>#REF!</v>
      </c>
      <c r="AI45" s="21" t="e">
        <f>IF(AND('Mapa final'!#REF!="Baja",'Mapa final'!#REF!="Catastrófico"),CONCATENATE("R10C",'Mapa final'!#REF!),"")</f>
        <v>#REF!</v>
      </c>
      <c r="AJ45" s="21" t="e">
        <f>IF(AND('Mapa final'!#REF!="Baja",'Mapa final'!#REF!="Catastrófico"),CONCATENATE("R10C",'Mapa final'!#REF!),"")</f>
        <v>#REF!</v>
      </c>
      <c r="AK45" s="21" t="e">
        <f>IF(AND('Mapa final'!#REF!="Baja",'Mapa final'!#REF!="Catastrófico"),CONCATENATE("R10C",'Mapa final'!#REF!),"")</f>
        <v>#REF!</v>
      </c>
      <c r="AL45" s="21" t="e">
        <f>IF(AND('Mapa final'!#REF!="Baja",'Mapa final'!#REF!="Catastrófico"),CONCATENATE("R10C",'Mapa final'!#REF!),"")</f>
        <v>#REF!</v>
      </c>
      <c r="AM45" s="22" t="e">
        <f>IF(AND('Mapa final'!#REF!="Baja",'Mapa final'!#REF!="Catastrófico"),CONCATENATE("R10C",'Mapa final'!#REF!),"")</f>
        <v>#REF!</v>
      </c>
      <c r="AN45" s="42"/>
      <c r="AO45" s="373"/>
      <c r="AP45" s="374"/>
      <c r="AQ45" s="374"/>
      <c r="AR45" s="374"/>
      <c r="AS45" s="374"/>
      <c r="AT45" s="375"/>
    </row>
    <row r="46" spans="1:80" ht="46.5" customHeight="1" x14ac:dyDescent="0.45">
      <c r="A46" s="42"/>
      <c r="B46" s="298"/>
      <c r="C46" s="298"/>
      <c r="D46" s="299"/>
      <c r="E46" s="336" t="s">
        <v>212</v>
      </c>
      <c r="F46" s="337"/>
      <c r="G46" s="337"/>
      <c r="H46" s="337"/>
      <c r="I46" s="338"/>
      <c r="J46" s="32" t="str">
        <f>IF(AND('Mapa final'!$Z$11="Muy Baja",'Mapa final'!$AB$11="Leve"),CONCATENATE("R1C",'Mapa final'!$P$11),"")</f>
        <v/>
      </c>
      <c r="K46" s="33" t="str">
        <f>IF(AND('Mapa final'!$Z$12="Muy Baja",'Mapa final'!$AB$12="Leve"),CONCATENATE("R1C",'Mapa final'!$P$12),"")</f>
        <v/>
      </c>
      <c r="L46" s="33" t="str">
        <f>IF(AND('Mapa final'!$Z$13="Muy Baja",'Mapa final'!$AB$13="Leve"),CONCATENATE("R1C",'Mapa final'!$P$13),"")</f>
        <v/>
      </c>
      <c r="M46" s="33" t="str">
        <f>IF(AND('Mapa final'!$Z$14="Muy Baja",'Mapa final'!$AB$14="Leve"),CONCATENATE("R1C",'Mapa final'!$P$14),"")</f>
        <v/>
      </c>
      <c r="N46" s="33" t="str">
        <f>IF(AND('Mapa final'!$Z$15="Muy Baja",'Mapa final'!$AB$15="Leve"),CONCATENATE("R1C",'Mapa final'!$P$15),"")</f>
        <v/>
      </c>
      <c r="O46" s="34" t="str">
        <f>IF(AND('Mapa final'!$Z$16="Muy Baja",'Mapa final'!$AB$16="Leve"),CONCATENATE("R1C",'Mapa final'!$P$16),"")</f>
        <v/>
      </c>
      <c r="P46" s="32" t="str">
        <f>IF(AND('Mapa final'!$Z$11="Muy Baja",'Mapa final'!$AB$11="Menor"),CONCATENATE("R1C",'Mapa final'!$P$11),"")</f>
        <v>R1C5</v>
      </c>
      <c r="Q46" s="33" t="str">
        <f>IF(AND('Mapa final'!$Z$12="Muy Baja",'Mapa final'!$AB$12="Menor"),CONCATENATE("R1C",'Mapa final'!$P$12),"")</f>
        <v>R1C1</v>
      </c>
      <c r="R46" s="33" t="str">
        <f>IF(AND('Mapa final'!$Z$13="Muy Baja",'Mapa final'!$AB$13="Menor"),CONCATENATE("R1C",'Mapa final'!$P$13),"")</f>
        <v>R1C1</v>
      </c>
      <c r="S46" s="33" t="str">
        <f>IF(AND('Mapa final'!$Z$14="Muy Baja",'Mapa final'!$AB$14="Menor"),CONCATENATE("R1C",'Mapa final'!$P$14),"")</f>
        <v>R1C2</v>
      </c>
      <c r="T46" s="33" t="str">
        <f>IF(AND('Mapa final'!$Z$15="Muy Baja",'Mapa final'!$AB$15="Menor"),CONCATENATE("R1C",'Mapa final'!$P$15),"")</f>
        <v>R1C1</v>
      </c>
      <c r="U46" s="34" t="str">
        <f>IF(AND('Mapa final'!$Z$16="Muy Baja",'Mapa final'!$AB$16="Menor"),CONCATENATE("R1C",'Mapa final'!$P$16),"")</f>
        <v>R1C1</v>
      </c>
      <c r="V46" s="23" t="str">
        <f>IF(AND('Mapa final'!$Z$11="Muy Baja",'Mapa final'!$AB$11="Moderado"),CONCATENATE("R1C",'Mapa final'!$P$11),"")</f>
        <v/>
      </c>
      <c r="W46" s="41" t="str">
        <f>IF(AND('Mapa final'!$Z$12="Muy Baja",'Mapa final'!$AB$12="Moderado"),CONCATENATE("R1C",'Mapa final'!$P$12),"")</f>
        <v/>
      </c>
      <c r="X46" s="24" t="str">
        <f>IF(AND('Mapa final'!$Z$13="Muy Baja",'Mapa final'!$AB$13="Moderado"),CONCATENATE("R1C",'Mapa final'!$P$13),"")</f>
        <v/>
      </c>
      <c r="Y46" s="24" t="str">
        <f>IF(AND('Mapa final'!$Z$14="Muy Baja",'Mapa final'!$AB$14="Moderado"),CONCATENATE("R1C",'Mapa final'!$P$14),"")</f>
        <v/>
      </c>
      <c r="Z46" s="24" t="str">
        <f>IF(AND('Mapa final'!$Z$15="Muy Baja",'Mapa final'!$AB$15="Moderado"),CONCATENATE("R1C",'Mapa final'!$P$15),"")</f>
        <v/>
      </c>
      <c r="AA46" s="25" t="str">
        <f>IF(AND('Mapa final'!$Z$16="Muy Baja",'Mapa final'!$AB$16="Moderado"),CONCATENATE("R1C",'Mapa final'!$P$16),"")</f>
        <v/>
      </c>
      <c r="AB46" s="5" t="str">
        <f>IF(AND('Mapa final'!$Z$11="Muy Baja",'Mapa final'!$AB$11="Mayor"),CONCATENATE("R1C",'Mapa final'!$P$11),"")</f>
        <v/>
      </c>
      <c r="AC46" s="6" t="str">
        <f>IF(AND('Mapa final'!$Z$12="Muy Baja",'Mapa final'!$AB$12="Mayor"),CONCATENATE("R1C",'Mapa final'!$P$12),"")</f>
        <v/>
      </c>
      <c r="AD46" s="6" t="str">
        <f>IF(AND('Mapa final'!$Z$13="Muy Baja",'Mapa final'!$AB$13="Mayor"),CONCATENATE("R1C",'Mapa final'!$P$13),"")</f>
        <v/>
      </c>
      <c r="AE46" s="6" t="str">
        <f>IF(AND('Mapa final'!$Z$14="Muy Baja",'Mapa final'!$AB$14="Mayor"),CONCATENATE("R1C",'Mapa final'!$P$14),"")</f>
        <v/>
      </c>
      <c r="AF46" s="6" t="str">
        <f>IF(AND('Mapa final'!$Z$15="Muy Baja",'Mapa final'!$AB$15="Mayor"),CONCATENATE("R1C",'Mapa final'!$P$15),"")</f>
        <v/>
      </c>
      <c r="AG46" s="7" t="str">
        <f>IF(AND('Mapa final'!$Z$16="Muy Baja",'Mapa final'!$AB$16="Mayor"),CONCATENATE("R1C",'Mapa final'!$P$16),"")</f>
        <v/>
      </c>
      <c r="AH46" s="8" t="str">
        <f>IF(AND('Mapa final'!$Z$11="Muy Baja",'Mapa final'!$AB$11="Catastrófico"),CONCATENATE("R1C",'Mapa final'!$P$11),"")</f>
        <v/>
      </c>
      <c r="AI46" s="9" t="str">
        <f>IF(AND('Mapa final'!$Z$12="Muy Baja",'Mapa final'!$AB$12="Catastrófico"),CONCATENATE("R1C",'Mapa final'!$P$12),"")</f>
        <v/>
      </c>
      <c r="AJ46" s="9" t="str">
        <f>IF(AND('Mapa final'!$Z$13="Muy Baja",'Mapa final'!$AB$13="Catastrófico"),CONCATENATE("R1C",'Mapa final'!$P$13),"")</f>
        <v/>
      </c>
      <c r="AK46" s="9" t="str">
        <f>IF(AND('Mapa final'!$Z$14="Muy Baja",'Mapa final'!$AB$14="Catastrófico"),CONCATENATE("R1C",'Mapa final'!$P$14),"")</f>
        <v/>
      </c>
      <c r="AL46" s="9" t="str">
        <f>IF(AND('Mapa final'!$Z$15="Muy Baja",'Mapa final'!$AB$15="Catastrófico"),CONCATENATE("R1C",'Mapa final'!$P$15),"")</f>
        <v/>
      </c>
      <c r="AM46" s="10" t="str">
        <f>IF(AND('Mapa final'!$Z$16="Muy Baja",'Mapa final'!$AB$16="Catastrófico"),CONCATENATE("R1C",'Mapa final'!$P$16),"")</f>
        <v/>
      </c>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row>
    <row r="47" spans="1:80" ht="46.5" customHeight="1" x14ac:dyDescent="0.3">
      <c r="A47" s="42"/>
      <c r="B47" s="298"/>
      <c r="C47" s="298"/>
      <c r="D47" s="299"/>
      <c r="E47" s="355"/>
      <c r="F47" s="340"/>
      <c r="G47" s="340"/>
      <c r="H47" s="340"/>
      <c r="I47" s="341"/>
      <c r="J47" s="35" t="str">
        <f>IF(AND('Mapa final'!$Z$17="Muy Baja",'Mapa final'!$AB$17="Leve"),CONCATENATE("R2C",'Mapa final'!$P$17),"")</f>
        <v/>
      </c>
      <c r="K47" s="36" t="str">
        <f>IF(AND('Mapa final'!$Z$18="Muy Baja",'Mapa final'!$AB$18="Leve"),CONCATENATE("R2C",'Mapa final'!$P$18),"")</f>
        <v/>
      </c>
      <c r="L47" s="36" t="str">
        <f>IF(AND('Mapa final'!$Z$19="Muy Baja",'Mapa final'!$AB$19="Leve"),CONCATENATE("R2C",'Mapa final'!$P$19),"")</f>
        <v/>
      </c>
      <c r="M47" s="36" t="e">
        <f>IF(AND('Mapa final'!#REF!="Muy Baja",'Mapa final'!#REF!="Leve"),CONCATENATE("R2C",'Mapa final'!#REF!),"")</f>
        <v>#REF!</v>
      </c>
      <c r="N47" s="36" t="e">
        <f>IF(AND('Mapa final'!#REF!="Muy Baja",'Mapa final'!#REF!="Leve"),CONCATENATE("R2C",'Mapa final'!#REF!),"")</f>
        <v>#REF!</v>
      </c>
      <c r="O47" s="37" t="e">
        <f>IF(AND('Mapa final'!#REF!="Muy Baja",'Mapa final'!#REF!="Leve"),CONCATENATE("R2C",'Mapa final'!#REF!),"")</f>
        <v>#REF!</v>
      </c>
      <c r="P47" s="35" t="str">
        <f>IF(AND('Mapa final'!$Z$17="Muy Baja",'Mapa final'!$AB$17="Menor"),CONCATENATE("R2C",'Mapa final'!$P$17),"")</f>
        <v>R2C1</v>
      </c>
      <c r="Q47" s="36" t="str">
        <f>IF(AND('Mapa final'!$Z$18="Muy Baja",'Mapa final'!$AB$18="Menor"),CONCATENATE("R2C",'Mapa final'!$P$18),"")</f>
        <v/>
      </c>
      <c r="R47" s="36" t="str">
        <f>IF(AND('Mapa final'!$Z$19="Muy Baja",'Mapa final'!$AB$19="Menor"),CONCATENATE("R2C",'Mapa final'!$P$19),"")</f>
        <v>R2C4</v>
      </c>
      <c r="S47" s="36" t="e">
        <f>IF(AND('Mapa final'!#REF!="Muy Baja",'Mapa final'!#REF!="Menor"),CONCATENATE("R2C",'Mapa final'!#REF!),"")</f>
        <v>#REF!</v>
      </c>
      <c r="T47" s="36" t="e">
        <f>IF(AND('Mapa final'!#REF!="Muy Baja",'Mapa final'!#REF!="Menor"),CONCATENATE("R2C",'Mapa final'!#REF!),"")</f>
        <v>#REF!</v>
      </c>
      <c r="U47" s="37" t="e">
        <f>IF(AND('Mapa final'!#REF!="Muy Baja",'Mapa final'!#REF!="Menor"),CONCATENATE("R2C",'Mapa final'!#REF!),"")</f>
        <v>#REF!</v>
      </c>
      <c r="V47" s="26" t="str">
        <f>IF(AND('Mapa final'!$Z$17="Muy Baja",'Mapa final'!$AB$17="Moderado"),CONCATENATE("R2C",'Mapa final'!$P$17),"")</f>
        <v/>
      </c>
      <c r="W47" s="27" t="str">
        <f>IF(AND('Mapa final'!$Z$18="Muy Baja",'Mapa final'!$AB$18="Moderado"),CONCATENATE("R2C",'Mapa final'!$P$18),"")</f>
        <v/>
      </c>
      <c r="X47" s="27" t="str">
        <f>IF(AND('Mapa final'!$Z$19="Muy Baja",'Mapa final'!$AB$19="Moderado"),CONCATENATE("R2C",'Mapa final'!$P$19),"")</f>
        <v/>
      </c>
      <c r="Y47" s="27" t="e">
        <f>IF(AND('Mapa final'!#REF!="Muy Baja",'Mapa final'!#REF!="Moderado"),CONCATENATE("R2C",'Mapa final'!#REF!),"")</f>
        <v>#REF!</v>
      </c>
      <c r="Z47" s="27" t="e">
        <f>IF(AND('Mapa final'!#REF!="Muy Baja",'Mapa final'!#REF!="Moderado"),CONCATENATE("R2C",'Mapa final'!#REF!),"")</f>
        <v>#REF!</v>
      </c>
      <c r="AA47" s="28" t="e">
        <f>IF(AND('Mapa final'!#REF!="Muy Baja",'Mapa final'!#REF!="Moderado"),CONCATENATE("R2C",'Mapa final'!#REF!),"")</f>
        <v>#REF!</v>
      </c>
      <c r="AB47" s="11" t="str">
        <f>IF(AND('Mapa final'!$Z$17="Muy Baja",'Mapa final'!$AB$17="Mayor"),CONCATENATE("R2C",'Mapa final'!$P$17),"")</f>
        <v/>
      </c>
      <c r="AC47" s="12" t="str">
        <f>IF(AND('Mapa final'!$Z$18="Muy Baja",'Mapa final'!$AB$18="Mayor"),CONCATENATE("R2C",'Mapa final'!$P$18),"")</f>
        <v/>
      </c>
      <c r="AD47" s="12" t="str">
        <f>IF(AND('Mapa final'!$Z$19="Muy Baja",'Mapa final'!$AB$19="Mayor"),CONCATENATE("R2C",'Mapa final'!$P$19),"")</f>
        <v/>
      </c>
      <c r="AE47" s="12" t="e">
        <f>IF(AND('Mapa final'!#REF!="Muy Baja",'Mapa final'!#REF!="Mayor"),CONCATENATE("R2C",'Mapa final'!#REF!),"")</f>
        <v>#REF!</v>
      </c>
      <c r="AF47" s="12" t="e">
        <f>IF(AND('Mapa final'!#REF!="Muy Baja",'Mapa final'!#REF!="Mayor"),CONCATENATE("R2C",'Mapa final'!#REF!),"")</f>
        <v>#REF!</v>
      </c>
      <c r="AG47" s="13" t="e">
        <f>IF(AND('Mapa final'!#REF!="Muy Baja",'Mapa final'!#REF!="Mayor"),CONCATENATE("R2C",'Mapa final'!#REF!),"")</f>
        <v>#REF!</v>
      </c>
      <c r="AH47" s="14" t="str">
        <f>IF(AND('Mapa final'!$Z$17="Muy Baja",'Mapa final'!$AB$17="Catastrófico"),CONCATENATE("R2C",'Mapa final'!$P$17),"")</f>
        <v/>
      </c>
      <c r="AI47" s="15" t="str">
        <f>IF(AND('Mapa final'!$Z$18="Muy Baja",'Mapa final'!$AB$18="Catastrófico"),CONCATENATE("R2C",'Mapa final'!$P$18),"")</f>
        <v/>
      </c>
      <c r="AJ47" s="15" t="str">
        <f>IF(AND('Mapa final'!$Z$19="Muy Baja",'Mapa final'!$AB$19="Catastrófico"),CONCATENATE("R2C",'Mapa final'!$P$19),"")</f>
        <v/>
      </c>
      <c r="AK47" s="15" t="e">
        <f>IF(AND('Mapa final'!#REF!="Muy Baja",'Mapa final'!#REF!="Catastrófico"),CONCATENATE("R2C",'Mapa final'!#REF!),"")</f>
        <v>#REF!</v>
      </c>
      <c r="AL47" s="15" t="e">
        <f>IF(AND('Mapa final'!#REF!="Muy Baja",'Mapa final'!#REF!="Catastrófico"),CONCATENATE("R2C",'Mapa final'!#REF!),"")</f>
        <v>#REF!</v>
      </c>
      <c r="AM47" s="16" t="e">
        <f>IF(AND('Mapa final'!#REF!="Muy Baja",'Mapa final'!#REF!="Catastrófico"),CONCATENATE("R2C",'Mapa final'!#REF!),"")</f>
        <v>#REF!</v>
      </c>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row>
    <row r="48" spans="1:80" ht="15" customHeight="1" x14ac:dyDescent="0.3">
      <c r="A48" s="42"/>
      <c r="B48" s="298"/>
      <c r="C48" s="298"/>
      <c r="D48" s="299"/>
      <c r="E48" s="355"/>
      <c r="F48" s="340"/>
      <c r="G48" s="340"/>
      <c r="H48" s="340"/>
      <c r="I48" s="341"/>
      <c r="J48" s="35" t="str">
        <f>IF(AND('Mapa final'!$Z$20="Muy Baja",'Mapa final'!$AB$20="Leve"),CONCATENATE("R3C",'Mapa final'!$P$20),"")</f>
        <v/>
      </c>
      <c r="K48" s="36" t="str">
        <f>IF(AND('Mapa final'!$Z$21="Muy Baja",'Mapa final'!$AB$21="Leve"),CONCATENATE("R3C",'Mapa final'!$P$21),"")</f>
        <v/>
      </c>
      <c r="L48" s="36" t="str">
        <f>IF(AND('Mapa final'!$Z$22="Muy Baja",'Mapa final'!$AB$22="Leve"),CONCATENATE("R3C",'Mapa final'!$P$22),"")</f>
        <v/>
      </c>
      <c r="M48" s="36" t="str">
        <f>IF(AND('Mapa final'!$Z$23="Muy Baja",'Mapa final'!$AB$23="Leve"),CONCATENATE("R3C",'Mapa final'!$P$23),"")</f>
        <v/>
      </c>
      <c r="N48" s="36" t="str">
        <f>IF(AND('Mapa final'!$Z$24="Muy Baja",'Mapa final'!$AB$24="Leve"),CONCATENATE("R3C",'Mapa final'!$P$24),"")</f>
        <v/>
      </c>
      <c r="O48" s="37" t="str">
        <f>IF(AND('Mapa final'!$Z$25="Muy Baja",'Mapa final'!$AB$25="Leve"),CONCATENATE("R3C",'Mapa final'!$P$25),"")</f>
        <v/>
      </c>
      <c r="P48" s="35" t="str">
        <f>IF(AND('Mapa final'!$Z$20="Muy Baja",'Mapa final'!$AB$20="Menor"),CONCATENATE("R3C",'Mapa final'!$P$20),"")</f>
        <v/>
      </c>
      <c r="Q48" s="36" t="str">
        <f>IF(AND('Mapa final'!$Z$21="Muy Baja",'Mapa final'!$AB$21="Menor"),CONCATENATE("R3C",'Mapa final'!$P$21),"")</f>
        <v>R3C3</v>
      </c>
      <c r="R48" s="36" t="str">
        <f>IF(AND('Mapa final'!$Z$22="Muy Baja",'Mapa final'!$AB$22="Menor"),CONCATENATE("R3C",'Mapa final'!$P$22),"")</f>
        <v/>
      </c>
      <c r="S48" s="36" t="str">
        <f>IF(AND('Mapa final'!$Z$23="Muy Baja",'Mapa final'!$AB$23="Menor"),CONCATENATE("R3C",'Mapa final'!$P$23),"")</f>
        <v/>
      </c>
      <c r="T48" s="36" t="str">
        <f>IF(AND('Mapa final'!$Z$24="Muy Baja",'Mapa final'!$AB$24="Menor"),CONCATENATE("R3C",'Mapa final'!$P$24),"")</f>
        <v/>
      </c>
      <c r="U48" s="37" t="str">
        <f>IF(AND('Mapa final'!$Z$25="Muy Baja",'Mapa final'!$AB$25="Menor"),CONCATENATE("R3C",'Mapa final'!$P$25),"")</f>
        <v/>
      </c>
      <c r="V48" s="26" t="str">
        <f>IF(AND('Mapa final'!$Z$20="Muy Baja",'Mapa final'!$AB$20="Moderado"),CONCATENATE("R3C",'Mapa final'!$P$20),"")</f>
        <v/>
      </c>
      <c r="W48" s="27" t="str">
        <f>IF(AND('Mapa final'!$Z$21="Muy Baja",'Mapa final'!$AB$21="Moderado"),CONCATENATE("R3C",'Mapa final'!$P$21),"")</f>
        <v/>
      </c>
      <c r="X48" s="27" t="str">
        <f>IF(AND('Mapa final'!$Z$22="Muy Baja",'Mapa final'!$AB$22="Moderado"),CONCATENATE("R3C",'Mapa final'!$P$22),"")</f>
        <v/>
      </c>
      <c r="Y48" s="27" t="str">
        <f>IF(AND('Mapa final'!$Z$23="Muy Baja",'Mapa final'!$AB$23="Moderado"),CONCATENATE("R3C",'Mapa final'!$P$23),"")</f>
        <v/>
      </c>
      <c r="Z48" s="27" t="str">
        <f>IF(AND('Mapa final'!$Z$24="Muy Baja",'Mapa final'!$AB$24="Moderado"),CONCATENATE("R3C",'Mapa final'!$P$24),"")</f>
        <v/>
      </c>
      <c r="AA48" s="28" t="str">
        <f>IF(AND('Mapa final'!$Z$25="Muy Baja",'Mapa final'!$AB$25="Moderado"),CONCATENATE("R3C",'Mapa final'!$P$25),"")</f>
        <v/>
      </c>
      <c r="AB48" s="11" t="str">
        <f>IF(AND('Mapa final'!$Z$20="Muy Baja",'Mapa final'!$AB$20="Mayor"),CONCATENATE("R3C",'Mapa final'!$P$20),"")</f>
        <v/>
      </c>
      <c r="AC48" s="12" t="str">
        <f>IF(AND('Mapa final'!$Z$21="Muy Baja",'Mapa final'!$AB$21="Mayor"),CONCATENATE("R3C",'Mapa final'!$P$21),"")</f>
        <v/>
      </c>
      <c r="AD48" s="12" t="str">
        <f>IF(AND('Mapa final'!$Z$22="Muy Baja",'Mapa final'!$AB$22="Mayor"),CONCATENATE("R3C",'Mapa final'!$P$22),"")</f>
        <v/>
      </c>
      <c r="AE48" s="12" t="str">
        <f>IF(AND('Mapa final'!$Z$23="Muy Baja",'Mapa final'!$AB$23="Mayor"),CONCATENATE("R3C",'Mapa final'!$P$23),"")</f>
        <v/>
      </c>
      <c r="AF48" s="12" t="str">
        <f>IF(AND('Mapa final'!$Z$24="Muy Baja",'Mapa final'!$AB$24="Mayor"),CONCATENATE("R3C",'Mapa final'!$P$24),"")</f>
        <v/>
      </c>
      <c r="AG48" s="13" t="str">
        <f>IF(AND('Mapa final'!$Z$25="Muy Baja",'Mapa final'!$AB$25="Mayor"),CONCATENATE("R3C",'Mapa final'!$P$25),"")</f>
        <v/>
      </c>
      <c r="AH48" s="14" t="str">
        <f>IF(AND('Mapa final'!$Z$20="Muy Baja",'Mapa final'!$AB$20="Catastrófico"),CONCATENATE("R3C",'Mapa final'!$P$20),"")</f>
        <v/>
      </c>
      <c r="AI48" s="15" t="str">
        <f>IF(AND('Mapa final'!$Z$21="Muy Baja",'Mapa final'!$AB$21="Catastrófico"),CONCATENATE("R3C",'Mapa final'!$P$21),"")</f>
        <v/>
      </c>
      <c r="AJ48" s="15" t="str">
        <f>IF(AND('Mapa final'!$Z$22="Muy Baja",'Mapa final'!$AB$22="Catastrófico"),CONCATENATE("R3C",'Mapa final'!$P$22),"")</f>
        <v/>
      </c>
      <c r="AK48" s="15" t="str">
        <f>IF(AND('Mapa final'!$Z$23="Muy Baja",'Mapa final'!$AB$23="Catastrófico"),CONCATENATE("R3C",'Mapa final'!$P$23),"")</f>
        <v/>
      </c>
      <c r="AL48" s="15" t="str">
        <f>IF(AND('Mapa final'!$Z$24="Muy Baja",'Mapa final'!$AB$24="Catastrófico"),CONCATENATE("R3C",'Mapa final'!$P$24),"")</f>
        <v/>
      </c>
      <c r="AM48" s="16" t="str">
        <f>IF(AND('Mapa final'!$Z$25="Muy Baja",'Mapa final'!$AB$25="Catastrófico"),CONCATENATE("R3C",'Mapa final'!$P$25),"")</f>
        <v/>
      </c>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row>
    <row r="49" spans="1:80" ht="15" customHeight="1" x14ac:dyDescent="0.3">
      <c r="A49" s="42"/>
      <c r="B49" s="298"/>
      <c r="C49" s="298"/>
      <c r="D49" s="299"/>
      <c r="E49" s="339"/>
      <c r="F49" s="340"/>
      <c r="G49" s="340"/>
      <c r="H49" s="340"/>
      <c r="I49" s="341"/>
      <c r="J49" s="35" t="str">
        <f>IF(AND('Mapa final'!$Z$26="Muy Baja",'Mapa final'!$AB$26="Leve"),CONCATENATE("R4C",'Mapa final'!$P$26),"")</f>
        <v/>
      </c>
      <c r="K49" s="36" t="str">
        <f>IF(AND('Mapa final'!$Z$27="Muy Baja",'Mapa final'!$AB$27="Leve"),CONCATENATE("R4C",'Mapa final'!$P$27),"")</f>
        <v/>
      </c>
      <c r="L49" s="36" t="e">
        <f>IF(AND('Mapa final'!#REF!="Muy Baja",'Mapa final'!#REF!="Leve"),CONCATENATE("R4C",'Mapa final'!#REF!),"")</f>
        <v>#REF!</v>
      </c>
      <c r="M49" s="36" t="e">
        <f>IF(AND('Mapa final'!#REF!="Muy Baja",'Mapa final'!#REF!="Leve"),CONCATENATE("R4C",'Mapa final'!#REF!),"")</f>
        <v>#REF!</v>
      </c>
      <c r="N49" s="36" t="e">
        <f>IF(AND('Mapa final'!#REF!="Muy Baja",'Mapa final'!#REF!="Leve"),CONCATENATE("R4C",'Mapa final'!#REF!),"")</f>
        <v>#REF!</v>
      </c>
      <c r="O49" s="37" t="e">
        <f>IF(AND('Mapa final'!#REF!="Muy Baja",'Mapa final'!#REF!="Leve"),CONCATENATE("R4C",'Mapa final'!#REF!),"")</f>
        <v>#REF!</v>
      </c>
      <c r="P49" s="35" t="str">
        <f>IF(AND('Mapa final'!$Z$26="Muy Baja",'Mapa final'!$AB$26="Menor"),CONCATENATE("R4C",'Mapa final'!$P$26),"")</f>
        <v/>
      </c>
      <c r="Q49" s="36" t="str">
        <f>IF(AND('Mapa final'!$Z$27="Muy Baja",'Mapa final'!$AB$27="Menor"),CONCATENATE("R4C",'Mapa final'!$P$27),"")</f>
        <v/>
      </c>
      <c r="R49" s="36" t="e">
        <f>IF(AND('Mapa final'!#REF!="Muy Baja",'Mapa final'!#REF!="Menor"),CONCATENATE("R4C",'Mapa final'!#REF!),"")</f>
        <v>#REF!</v>
      </c>
      <c r="S49" s="36" t="e">
        <f>IF(AND('Mapa final'!#REF!="Muy Baja",'Mapa final'!#REF!="Menor"),CONCATENATE("R4C",'Mapa final'!#REF!),"")</f>
        <v>#REF!</v>
      </c>
      <c r="T49" s="36" t="e">
        <f>IF(AND('Mapa final'!#REF!="Muy Baja",'Mapa final'!#REF!="Menor"),CONCATENATE("R4C",'Mapa final'!#REF!),"")</f>
        <v>#REF!</v>
      </c>
      <c r="U49" s="37" t="e">
        <f>IF(AND('Mapa final'!#REF!="Muy Baja",'Mapa final'!#REF!="Menor"),CONCATENATE("R4C",'Mapa final'!#REF!),"")</f>
        <v>#REF!</v>
      </c>
      <c r="V49" s="26" t="str">
        <f>IF(AND('Mapa final'!$Z$26="Muy Baja",'Mapa final'!$AB$26="Moderado"),CONCATENATE("R4C",'Mapa final'!$P$26),"")</f>
        <v/>
      </c>
      <c r="W49" s="27" t="str">
        <f>IF(AND('Mapa final'!$Z$27="Muy Baja",'Mapa final'!$AB$27="Moderado"),CONCATENATE("R4C",'Mapa final'!$P$27),"")</f>
        <v/>
      </c>
      <c r="X49" s="27" t="e">
        <f>IF(AND('Mapa final'!#REF!="Muy Baja",'Mapa final'!#REF!="Moderado"),CONCATENATE("R4C",'Mapa final'!#REF!),"")</f>
        <v>#REF!</v>
      </c>
      <c r="Y49" s="27" t="e">
        <f>IF(AND('Mapa final'!#REF!="Muy Baja",'Mapa final'!#REF!="Moderado"),CONCATENATE("R4C",'Mapa final'!#REF!),"")</f>
        <v>#REF!</v>
      </c>
      <c r="Z49" s="27" t="e">
        <f>IF(AND('Mapa final'!#REF!="Muy Baja",'Mapa final'!#REF!="Moderado"),CONCATENATE("R4C",'Mapa final'!#REF!),"")</f>
        <v>#REF!</v>
      </c>
      <c r="AA49" s="28" t="e">
        <f>IF(AND('Mapa final'!#REF!="Muy Baja",'Mapa final'!#REF!="Moderado"),CONCATENATE("R4C",'Mapa final'!#REF!),"")</f>
        <v>#REF!</v>
      </c>
      <c r="AB49" s="11" t="str">
        <f>IF(AND('Mapa final'!$Z$26="Muy Baja",'Mapa final'!$AB$26="Mayor"),CONCATENATE("R4C",'Mapa final'!$P$26),"")</f>
        <v/>
      </c>
      <c r="AC49" s="12" t="str">
        <f>IF(AND('Mapa final'!$Z$27="Muy Baja",'Mapa final'!$AB$27="Mayor"),CONCATENATE("R4C",'Mapa final'!$P$27),"")</f>
        <v/>
      </c>
      <c r="AD49" s="12" t="e">
        <f>IF(AND('Mapa final'!#REF!="Muy Baja",'Mapa final'!#REF!="Mayor"),CONCATENATE("R4C",'Mapa final'!#REF!),"")</f>
        <v>#REF!</v>
      </c>
      <c r="AE49" s="12" t="e">
        <f>IF(AND('Mapa final'!#REF!="Muy Baja",'Mapa final'!#REF!="Mayor"),CONCATENATE("R4C",'Mapa final'!#REF!),"")</f>
        <v>#REF!</v>
      </c>
      <c r="AF49" s="12" t="e">
        <f>IF(AND('Mapa final'!#REF!="Muy Baja",'Mapa final'!#REF!="Mayor"),CONCATENATE("R4C",'Mapa final'!#REF!),"")</f>
        <v>#REF!</v>
      </c>
      <c r="AG49" s="13" t="e">
        <f>IF(AND('Mapa final'!#REF!="Muy Baja",'Mapa final'!#REF!="Mayor"),CONCATENATE("R4C",'Mapa final'!#REF!),"")</f>
        <v>#REF!</v>
      </c>
      <c r="AH49" s="14" t="str">
        <f>IF(AND('Mapa final'!$Z$26="Muy Baja",'Mapa final'!$AB$26="Catastrófico"),CONCATENATE("R4C",'Mapa final'!$P$26),"")</f>
        <v/>
      </c>
      <c r="AI49" s="15" t="str">
        <f>IF(AND('Mapa final'!$Z$27="Muy Baja",'Mapa final'!$AB$27="Catastrófico"),CONCATENATE("R4C",'Mapa final'!$P$27),"")</f>
        <v/>
      </c>
      <c r="AJ49" s="15" t="e">
        <f>IF(AND('Mapa final'!#REF!="Muy Baja",'Mapa final'!#REF!="Catastrófico"),CONCATENATE("R4C",'Mapa final'!#REF!),"")</f>
        <v>#REF!</v>
      </c>
      <c r="AK49" s="15" t="e">
        <f>IF(AND('Mapa final'!#REF!="Muy Baja",'Mapa final'!#REF!="Catastrófico"),CONCATENATE("R4C",'Mapa final'!#REF!),"")</f>
        <v>#REF!</v>
      </c>
      <c r="AL49" s="15" t="e">
        <f>IF(AND('Mapa final'!#REF!="Muy Baja",'Mapa final'!#REF!="Catastrófico"),CONCATENATE("R4C",'Mapa final'!#REF!),"")</f>
        <v>#REF!</v>
      </c>
      <c r="AM49" s="16" t="e">
        <f>IF(AND('Mapa final'!#REF!="Muy Baja",'Mapa final'!#REF!="Catastrófico"),CONCATENATE("R4C",'Mapa final'!#REF!),"")</f>
        <v>#REF!</v>
      </c>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row>
    <row r="50" spans="1:80" ht="15" customHeight="1" x14ac:dyDescent="0.3">
      <c r="A50" s="42"/>
      <c r="B50" s="298"/>
      <c r="C50" s="298"/>
      <c r="D50" s="299"/>
      <c r="E50" s="339"/>
      <c r="F50" s="340"/>
      <c r="G50" s="340"/>
      <c r="H50" s="340"/>
      <c r="I50" s="341"/>
      <c r="J50" s="35" t="e">
        <f>IF(AND('Mapa final'!#REF!="Muy Baja",'Mapa final'!#REF!="Leve"),CONCATENATE("R5C",'Mapa final'!#REF!),"")</f>
        <v>#REF!</v>
      </c>
      <c r="K50" s="36" t="e">
        <f>IF(AND('Mapa final'!#REF!="Muy Baja",'Mapa final'!#REF!="Leve"),CONCATENATE("R5C",'Mapa final'!#REF!),"")</f>
        <v>#REF!</v>
      </c>
      <c r="L50" s="36" t="e">
        <f>IF(AND('Mapa final'!#REF!="Muy Baja",'Mapa final'!#REF!="Leve"),CONCATENATE("R5C",'Mapa final'!#REF!),"")</f>
        <v>#REF!</v>
      </c>
      <c r="M50" s="36" t="e">
        <f>IF(AND('Mapa final'!#REF!="Muy Baja",'Mapa final'!#REF!="Leve"),CONCATENATE("R5C",'Mapa final'!#REF!),"")</f>
        <v>#REF!</v>
      </c>
      <c r="N50" s="36" t="e">
        <f>IF(AND('Mapa final'!#REF!="Muy Baja",'Mapa final'!#REF!="Leve"),CONCATENATE("R5C",'Mapa final'!#REF!),"")</f>
        <v>#REF!</v>
      </c>
      <c r="O50" s="37" t="e">
        <f>IF(AND('Mapa final'!#REF!="Muy Baja",'Mapa final'!#REF!="Leve"),CONCATENATE("R5C",'Mapa final'!#REF!),"")</f>
        <v>#REF!</v>
      </c>
      <c r="P50" s="35" t="e">
        <f>IF(AND('Mapa final'!#REF!="Muy Baja",'Mapa final'!#REF!="Menor"),CONCATENATE("R5C",'Mapa final'!#REF!),"")</f>
        <v>#REF!</v>
      </c>
      <c r="Q50" s="36" t="e">
        <f>IF(AND('Mapa final'!#REF!="Muy Baja",'Mapa final'!#REF!="Menor"),CONCATENATE("R5C",'Mapa final'!#REF!),"")</f>
        <v>#REF!</v>
      </c>
      <c r="R50" s="36" t="e">
        <f>IF(AND('Mapa final'!#REF!="Muy Baja",'Mapa final'!#REF!="Menor"),CONCATENATE("R5C",'Mapa final'!#REF!),"")</f>
        <v>#REF!</v>
      </c>
      <c r="S50" s="36" t="e">
        <f>IF(AND('Mapa final'!#REF!="Muy Baja",'Mapa final'!#REF!="Menor"),CONCATENATE("R5C",'Mapa final'!#REF!),"")</f>
        <v>#REF!</v>
      </c>
      <c r="T50" s="36" t="e">
        <f>IF(AND('Mapa final'!#REF!="Muy Baja",'Mapa final'!#REF!="Menor"),CONCATENATE("R5C",'Mapa final'!#REF!),"")</f>
        <v>#REF!</v>
      </c>
      <c r="U50" s="37" t="e">
        <f>IF(AND('Mapa final'!#REF!="Muy Baja",'Mapa final'!#REF!="Menor"),CONCATENATE("R5C",'Mapa final'!#REF!),"")</f>
        <v>#REF!</v>
      </c>
      <c r="V50" s="26" t="e">
        <f>IF(AND('Mapa final'!#REF!="Muy Baja",'Mapa final'!#REF!="Moderado"),CONCATENATE("R5C",'Mapa final'!#REF!),"")</f>
        <v>#REF!</v>
      </c>
      <c r="W50" s="27" t="e">
        <f>IF(AND('Mapa final'!#REF!="Muy Baja",'Mapa final'!#REF!="Moderado"),CONCATENATE("R5C",'Mapa final'!#REF!),"")</f>
        <v>#REF!</v>
      </c>
      <c r="X50" s="27" t="e">
        <f>IF(AND('Mapa final'!#REF!="Muy Baja",'Mapa final'!#REF!="Moderado"),CONCATENATE("R5C",'Mapa final'!#REF!),"")</f>
        <v>#REF!</v>
      </c>
      <c r="Y50" s="27" t="e">
        <f>IF(AND('Mapa final'!#REF!="Muy Baja",'Mapa final'!#REF!="Moderado"),CONCATENATE("R5C",'Mapa final'!#REF!),"")</f>
        <v>#REF!</v>
      </c>
      <c r="Z50" s="27" t="e">
        <f>IF(AND('Mapa final'!#REF!="Muy Baja",'Mapa final'!#REF!="Moderado"),CONCATENATE("R5C",'Mapa final'!#REF!),"")</f>
        <v>#REF!</v>
      </c>
      <c r="AA50" s="28" t="e">
        <f>IF(AND('Mapa final'!#REF!="Muy Baja",'Mapa final'!#REF!="Moderado"),CONCATENATE("R5C",'Mapa final'!#REF!),"")</f>
        <v>#REF!</v>
      </c>
      <c r="AB50" s="11" t="e">
        <f>IF(AND('Mapa final'!#REF!="Muy Baja",'Mapa final'!#REF!="Mayor"),CONCATENATE("R5C",'Mapa final'!#REF!),"")</f>
        <v>#REF!</v>
      </c>
      <c r="AC50" s="12" t="e">
        <f>IF(AND('Mapa final'!#REF!="Muy Baja",'Mapa final'!#REF!="Mayor"),CONCATENATE("R5C",'Mapa final'!#REF!),"")</f>
        <v>#REF!</v>
      </c>
      <c r="AD50" s="12" t="e">
        <f>IF(AND('Mapa final'!#REF!="Muy Baja",'Mapa final'!#REF!="Mayor"),CONCATENATE("R5C",'Mapa final'!#REF!),"")</f>
        <v>#REF!</v>
      </c>
      <c r="AE50" s="12" t="e">
        <f>IF(AND('Mapa final'!#REF!="Muy Baja",'Mapa final'!#REF!="Mayor"),CONCATENATE("R5C",'Mapa final'!#REF!),"")</f>
        <v>#REF!</v>
      </c>
      <c r="AF50" s="12" t="e">
        <f>IF(AND('Mapa final'!#REF!="Muy Baja",'Mapa final'!#REF!="Mayor"),CONCATENATE("R5C",'Mapa final'!#REF!),"")</f>
        <v>#REF!</v>
      </c>
      <c r="AG50" s="13" t="e">
        <f>IF(AND('Mapa final'!#REF!="Muy Baja",'Mapa final'!#REF!="Mayor"),CONCATENATE("R5C",'Mapa final'!#REF!),"")</f>
        <v>#REF!</v>
      </c>
      <c r="AH50" s="14" t="e">
        <f>IF(AND('Mapa final'!#REF!="Muy Baja",'Mapa final'!#REF!="Catastrófico"),CONCATENATE("R5C",'Mapa final'!#REF!),"")</f>
        <v>#REF!</v>
      </c>
      <c r="AI50" s="15" t="e">
        <f>IF(AND('Mapa final'!#REF!="Muy Baja",'Mapa final'!#REF!="Catastrófico"),CONCATENATE("R5C",'Mapa final'!#REF!),"")</f>
        <v>#REF!</v>
      </c>
      <c r="AJ50" s="15" t="e">
        <f>IF(AND('Mapa final'!#REF!="Muy Baja",'Mapa final'!#REF!="Catastrófico"),CONCATENATE("R5C",'Mapa final'!#REF!),"")</f>
        <v>#REF!</v>
      </c>
      <c r="AK50" s="15" t="e">
        <f>IF(AND('Mapa final'!#REF!="Muy Baja",'Mapa final'!#REF!="Catastrófico"),CONCATENATE("R5C",'Mapa final'!#REF!),"")</f>
        <v>#REF!</v>
      </c>
      <c r="AL50" s="15" t="e">
        <f>IF(AND('Mapa final'!#REF!="Muy Baja",'Mapa final'!#REF!="Catastrófico"),CONCATENATE("R5C",'Mapa final'!#REF!),"")</f>
        <v>#REF!</v>
      </c>
      <c r="AM50" s="16" t="e">
        <f>IF(AND('Mapa final'!#REF!="Muy Baja",'Mapa final'!#REF!="Catastrófico"),CONCATENATE("R5C",'Mapa final'!#REF!),"")</f>
        <v>#REF!</v>
      </c>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row>
    <row r="51" spans="1:80" ht="15" customHeight="1" x14ac:dyDescent="0.3">
      <c r="A51" s="42"/>
      <c r="B51" s="298"/>
      <c r="C51" s="298"/>
      <c r="D51" s="299"/>
      <c r="E51" s="339"/>
      <c r="F51" s="340"/>
      <c r="G51" s="340"/>
      <c r="H51" s="340"/>
      <c r="I51" s="341"/>
      <c r="J51" s="35" t="e">
        <f>IF(AND('Mapa final'!#REF!="Muy Baja",'Mapa final'!#REF!="Leve"),CONCATENATE("R6C",'Mapa final'!#REF!),"")</f>
        <v>#REF!</v>
      </c>
      <c r="K51" s="36" t="e">
        <f>IF(AND('Mapa final'!#REF!="Muy Baja",'Mapa final'!#REF!="Leve"),CONCATENATE("R6C",'Mapa final'!#REF!),"")</f>
        <v>#REF!</v>
      </c>
      <c r="L51" s="36" t="e">
        <f>IF(AND('Mapa final'!#REF!="Muy Baja",'Mapa final'!#REF!="Leve"),CONCATENATE("R6C",'Mapa final'!#REF!),"")</f>
        <v>#REF!</v>
      </c>
      <c r="M51" s="36" t="e">
        <f>IF(AND('Mapa final'!#REF!="Muy Baja",'Mapa final'!#REF!="Leve"),CONCATENATE("R6C",'Mapa final'!#REF!),"")</f>
        <v>#REF!</v>
      </c>
      <c r="N51" s="36" t="e">
        <f>IF(AND('Mapa final'!#REF!="Muy Baja",'Mapa final'!#REF!="Leve"),CONCATENATE("R6C",'Mapa final'!#REF!),"")</f>
        <v>#REF!</v>
      </c>
      <c r="O51" s="37" t="e">
        <f>IF(AND('Mapa final'!#REF!="Muy Baja",'Mapa final'!#REF!="Leve"),CONCATENATE("R6C",'Mapa final'!#REF!),"")</f>
        <v>#REF!</v>
      </c>
      <c r="P51" s="35" t="e">
        <f>IF(AND('Mapa final'!#REF!="Muy Baja",'Mapa final'!#REF!="Menor"),CONCATENATE("R6C",'Mapa final'!#REF!),"")</f>
        <v>#REF!</v>
      </c>
      <c r="Q51" s="36" t="e">
        <f>IF(AND('Mapa final'!#REF!="Muy Baja",'Mapa final'!#REF!="Menor"),CONCATENATE("R6C",'Mapa final'!#REF!),"")</f>
        <v>#REF!</v>
      </c>
      <c r="R51" s="36" t="e">
        <f>IF(AND('Mapa final'!#REF!="Muy Baja",'Mapa final'!#REF!="Menor"),CONCATENATE("R6C",'Mapa final'!#REF!),"")</f>
        <v>#REF!</v>
      </c>
      <c r="S51" s="36" t="e">
        <f>IF(AND('Mapa final'!#REF!="Muy Baja",'Mapa final'!#REF!="Menor"),CONCATENATE("R6C",'Mapa final'!#REF!),"")</f>
        <v>#REF!</v>
      </c>
      <c r="T51" s="36" t="e">
        <f>IF(AND('Mapa final'!#REF!="Muy Baja",'Mapa final'!#REF!="Menor"),CONCATENATE("R6C",'Mapa final'!#REF!),"")</f>
        <v>#REF!</v>
      </c>
      <c r="U51" s="37" t="e">
        <f>IF(AND('Mapa final'!#REF!="Muy Baja",'Mapa final'!#REF!="Menor"),CONCATENATE("R6C",'Mapa final'!#REF!),"")</f>
        <v>#REF!</v>
      </c>
      <c r="V51" s="26" t="e">
        <f>IF(AND('Mapa final'!#REF!="Muy Baja",'Mapa final'!#REF!="Moderado"),CONCATENATE("R6C",'Mapa final'!#REF!),"")</f>
        <v>#REF!</v>
      </c>
      <c r="W51" s="27" t="e">
        <f>IF(AND('Mapa final'!#REF!="Muy Baja",'Mapa final'!#REF!="Moderado"),CONCATENATE("R6C",'Mapa final'!#REF!),"")</f>
        <v>#REF!</v>
      </c>
      <c r="X51" s="27" t="e">
        <f>IF(AND('Mapa final'!#REF!="Muy Baja",'Mapa final'!#REF!="Moderado"),CONCATENATE("R6C",'Mapa final'!#REF!),"")</f>
        <v>#REF!</v>
      </c>
      <c r="Y51" s="27" t="e">
        <f>IF(AND('Mapa final'!#REF!="Muy Baja",'Mapa final'!#REF!="Moderado"),CONCATENATE("R6C",'Mapa final'!#REF!),"")</f>
        <v>#REF!</v>
      </c>
      <c r="Z51" s="27" t="e">
        <f>IF(AND('Mapa final'!#REF!="Muy Baja",'Mapa final'!#REF!="Moderado"),CONCATENATE("R6C",'Mapa final'!#REF!),"")</f>
        <v>#REF!</v>
      </c>
      <c r="AA51" s="28" t="e">
        <f>IF(AND('Mapa final'!#REF!="Muy Baja",'Mapa final'!#REF!="Moderado"),CONCATENATE("R6C",'Mapa final'!#REF!),"")</f>
        <v>#REF!</v>
      </c>
      <c r="AB51" s="11" t="e">
        <f>IF(AND('Mapa final'!#REF!="Muy Baja",'Mapa final'!#REF!="Mayor"),CONCATENATE("R6C",'Mapa final'!#REF!),"")</f>
        <v>#REF!</v>
      </c>
      <c r="AC51" s="12" t="e">
        <f>IF(AND('Mapa final'!#REF!="Muy Baja",'Mapa final'!#REF!="Mayor"),CONCATENATE("R6C",'Mapa final'!#REF!),"")</f>
        <v>#REF!</v>
      </c>
      <c r="AD51" s="12" t="e">
        <f>IF(AND('Mapa final'!#REF!="Muy Baja",'Mapa final'!#REF!="Mayor"),CONCATENATE("R6C",'Mapa final'!#REF!),"")</f>
        <v>#REF!</v>
      </c>
      <c r="AE51" s="12" t="e">
        <f>IF(AND('Mapa final'!#REF!="Muy Baja",'Mapa final'!#REF!="Mayor"),CONCATENATE("R6C",'Mapa final'!#REF!),"")</f>
        <v>#REF!</v>
      </c>
      <c r="AF51" s="12" t="e">
        <f>IF(AND('Mapa final'!#REF!="Muy Baja",'Mapa final'!#REF!="Mayor"),CONCATENATE("R6C",'Mapa final'!#REF!),"")</f>
        <v>#REF!</v>
      </c>
      <c r="AG51" s="13" t="e">
        <f>IF(AND('Mapa final'!#REF!="Muy Baja",'Mapa final'!#REF!="Mayor"),CONCATENATE("R6C",'Mapa final'!#REF!),"")</f>
        <v>#REF!</v>
      </c>
      <c r="AH51" s="14" t="e">
        <f>IF(AND('Mapa final'!#REF!="Muy Baja",'Mapa final'!#REF!="Catastrófico"),CONCATENATE("R6C",'Mapa final'!#REF!),"")</f>
        <v>#REF!</v>
      </c>
      <c r="AI51" s="15" t="e">
        <f>IF(AND('Mapa final'!#REF!="Muy Baja",'Mapa final'!#REF!="Catastrófico"),CONCATENATE("R6C",'Mapa final'!#REF!),"")</f>
        <v>#REF!</v>
      </c>
      <c r="AJ51" s="15" t="e">
        <f>IF(AND('Mapa final'!#REF!="Muy Baja",'Mapa final'!#REF!="Catastrófico"),CONCATENATE("R6C",'Mapa final'!#REF!),"")</f>
        <v>#REF!</v>
      </c>
      <c r="AK51" s="15" t="e">
        <f>IF(AND('Mapa final'!#REF!="Muy Baja",'Mapa final'!#REF!="Catastrófico"),CONCATENATE("R6C",'Mapa final'!#REF!),"")</f>
        <v>#REF!</v>
      </c>
      <c r="AL51" s="15" t="e">
        <f>IF(AND('Mapa final'!#REF!="Muy Baja",'Mapa final'!#REF!="Catastrófico"),CONCATENATE("R6C",'Mapa final'!#REF!),"")</f>
        <v>#REF!</v>
      </c>
      <c r="AM51" s="16" t="e">
        <f>IF(AND('Mapa final'!#REF!="Muy Baja",'Mapa final'!#REF!="Catastrófico"),CONCATENATE("R6C",'Mapa final'!#REF!),"")</f>
        <v>#REF!</v>
      </c>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row>
    <row r="52" spans="1:80" ht="15" customHeight="1" x14ac:dyDescent="0.3">
      <c r="A52" s="42"/>
      <c r="B52" s="298"/>
      <c r="C52" s="298"/>
      <c r="D52" s="299"/>
      <c r="E52" s="339"/>
      <c r="F52" s="340"/>
      <c r="G52" s="340"/>
      <c r="H52" s="340"/>
      <c r="I52" s="341"/>
      <c r="J52" s="35" t="e">
        <f>IF(AND('Mapa final'!#REF!="Muy Baja",'Mapa final'!#REF!="Leve"),CONCATENATE("R7C",'Mapa final'!#REF!),"")</f>
        <v>#REF!</v>
      </c>
      <c r="K52" s="36" t="e">
        <f>IF(AND('Mapa final'!#REF!="Muy Baja",'Mapa final'!#REF!="Leve"),CONCATENATE("R7C",'Mapa final'!#REF!),"")</f>
        <v>#REF!</v>
      </c>
      <c r="L52" s="36" t="e">
        <f>IF(AND('Mapa final'!#REF!="Muy Baja",'Mapa final'!#REF!="Leve"),CONCATENATE("R7C",'Mapa final'!#REF!),"")</f>
        <v>#REF!</v>
      </c>
      <c r="M52" s="36" t="e">
        <f>IF(AND('Mapa final'!#REF!="Muy Baja",'Mapa final'!#REF!="Leve"),CONCATENATE("R7C",'Mapa final'!#REF!),"")</f>
        <v>#REF!</v>
      </c>
      <c r="N52" s="36" t="e">
        <f>IF(AND('Mapa final'!#REF!="Muy Baja",'Mapa final'!#REF!="Leve"),CONCATENATE("R7C",'Mapa final'!#REF!),"")</f>
        <v>#REF!</v>
      </c>
      <c r="O52" s="37" t="e">
        <f>IF(AND('Mapa final'!#REF!="Muy Baja",'Mapa final'!#REF!="Leve"),CONCATENATE("R7C",'Mapa final'!#REF!),"")</f>
        <v>#REF!</v>
      </c>
      <c r="P52" s="35" t="e">
        <f>IF(AND('Mapa final'!#REF!="Muy Baja",'Mapa final'!#REF!="Menor"),CONCATENATE("R7C",'Mapa final'!#REF!),"")</f>
        <v>#REF!</v>
      </c>
      <c r="Q52" s="36" t="e">
        <f>IF(AND('Mapa final'!#REF!="Muy Baja",'Mapa final'!#REF!="Menor"),CONCATENATE("R7C",'Mapa final'!#REF!),"")</f>
        <v>#REF!</v>
      </c>
      <c r="R52" s="36" t="e">
        <f>IF(AND('Mapa final'!#REF!="Muy Baja",'Mapa final'!#REF!="Menor"),CONCATENATE("R7C",'Mapa final'!#REF!),"")</f>
        <v>#REF!</v>
      </c>
      <c r="S52" s="36" t="e">
        <f>IF(AND('Mapa final'!#REF!="Muy Baja",'Mapa final'!#REF!="Menor"),CONCATENATE("R7C",'Mapa final'!#REF!),"")</f>
        <v>#REF!</v>
      </c>
      <c r="T52" s="36" t="e">
        <f>IF(AND('Mapa final'!#REF!="Muy Baja",'Mapa final'!#REF!="Menor"),CONCATENATE("R7C",'Mapa final'!#REF!),"")</f>
        <v>#REF!</v>
      </c>
      <c r="U52" s="37" t="e">
        <f>IF(AND('Mapa final'!#REF!="Muy Baja",'Mapa final'!#REF!="Menor"),CONCATENATE("R7C",'Mapa final'!#REF!),"")</f>
        <v>#REF!</v>
      </c>
      <c r="V52" s="26" t="e">
        <f>IF(AND('Mapa final'!#REF!="Muy Baja",'Mapa final'!#REF!="Moderado"),CONCATENATE("R7C",'Mapa final'!#REF!),"")</f>
        <v>#REF!</v>
      </c>
      <c r="W52" s="27" t="e">
        <f>IF(AND('Mapa final'!#REF!="Muy Baja",'Mapa final'!#REF!="Moderado"),CONCATENATE("R7C",'Mapa final'!#REF!),"")</f>
        <v>#REF!</v>
      </c>
      <c r="X52" s="27" t="e">
        <f>IF(AND('Mapa final'!#REF!="Muy Baja",'Mapa final'!#REF!="Moderado"),CONCATENATE("R7C",'Mapa final'!#REF!),"")</f>
        <v>#REF!</v>
      </c>
      <c r="Y52" s="27" t="e">
        <f>IF(AND('Mapa final'!#REF!="Muy Baja",'Mapa final'!#REF!="Moderado"),CONCATENATE("R7C",'Mapa final'!#REF!),"")</f>
        <v>#REF!</v>
      </c>
      <c r="Z52" s="27" t="e">
        <f>IF(AND('Mapa final'!#REF!="Muy Baja",'Mapa final'!#REF!="Moderado"),CONCATENATE("R7C",'Mapa final'!#REF!),"")</f>
        <v>#REF!</v>
      </c>
      <c r="AA52" s="28" t="e">
        <f>IF(AND('Mapa final'!#REF!="Muy Baja",'Mapa final'!#REF!="Moderado"),CONCATENATE("R7C",'Mapa final'!#REF!),"")</f>
        <v>#REF!</v>
      </c>
      <c r="AB52" s="11" t="e">
        <f>IF(AND('Mapa final'!#REF!="Muy Baja",'Mapa final'!#REF!="Mayor"),CONCATENATE("R7C",'Mapa final'!#REF!),"")</f>
        <v>#REF!</v>
      </c>
      <c r="AC52" s="12" t="e">
        <f>IF(AND('Mapa final'!#REF!="Muy Baja",'Mapa final'!#REF!="Mayor"),CONCATENATE("R7C",'Mapa final'!#REF!),"")</f>
        <v>#REF!</v>
      </c>
      <c r="AD52" s="12" t="e">
        <f>IF(AND('Mapa final'!#REF!="Muy Baja",'Mapa final'!#REF!="Mayor"),CONCATENATE("R7C",'Mapa final'!#REF!),"")</f>
        <v>#REF!</v>
      </c>
      <c r="AE52" s="12" t="e">
        <f>IF(AND('Mapa final'!#REF!="Muy Baja",'Mapa final'!#REF!="Mayor"),CONCATENATE("R7C",'Mapa final'!#REF!),"")</f>
        <v>#REF!</v>
      </c>
      <c r="AF52" s="12" t="e">
        <f>IF(AND('Mapa final'!#REF!="Muy Baja",'Mapa final'!#REF!="Mayor"),CONCATENATE("R7C",'Mapa final'!#REF!),"")</f>
        <v>#REF!</v>
      </c>
      <c r="AG52" s="13" t="e">
        <f>IF(AND('Mapa final'!#REF!="Muy Baja",'Mapa final'!#REF!="Mayor"),CONCATENATE("R7C",'Mapa final'!#REF!),"")</f>
        <v>#REF!</v>
      </c>
      <c r="AH52" s="14" t="e">
        <f>IF(AND('Mapa final'!#REF!="Muy Baja",'Mapa final'!#REF!="Catastrófico"),CONCATENATE("R7C",'Mapa final'!#REF!),"")</f>
        <v>#REF!</v>
      </c>
      <c r="AI52" s="15" t="e">
        <f>IF(AND('Mapa final'!#REF!="Muy Baja",'Mapa final'!#REF!="Catastrófico"),CONCATENATE("R7C",'Mapa final'!#REF!),"")</f>
        <v>#REF!</v>
      </c>
      <c r="AJ52" s="15" t="e">
        <f>IF(AND('Mapa final'!#REF!="Muy Baja",'Mapa final'!#REF!="Catastrófico"),CONCATENATE("R7C",'Mapa final'!#REF!),"")</f>
        <v>#REF!</v>
      </c>
      <c r="AK52" s="15" t="e">
        <f>IF(AND('Mapa final'!#REF!="Muy Baja",'Mapa final'!#REF!="Catastrófico"),CONCATENATE("R7C",'Mapa final'!#REF!),"")</f>
        <v>#REF!</v>
      </c>
      <c r="AL52" s="15" t="e">
        <f>IF(AND('Mapa final'!#REF!="Muy Baja",'Mapa final'!#REF!="Catastrófico"),CONCATENATE("R7C",'Mapa final'!#REF!),"")</f>
        <v>#REF!</v>
      </c>
      <c r="AM52" s="16" t="e">
        <f>IF(AND('Mapa final'!#REF!="Muy Baja",'Mapa final'!#REF!="Catastrófico"),CONCATENATE("R7C",'Mapa final'!#REF!),"")</f>
        <v>#REF!</v>
      </c>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row>
    <row r="53" spans="1:80" ht="15" customHeight="1" x14ac:dyDescent="0.3">
      <c r="A53" s="42"/>
      <c r="B53" s="298"/>
      <c r="C53" s="298"/>
      <c r="D53" s="299"/>
      <c r="E53" s="339"/>
      <c r="F53" s="340"/>
      <c r="G53" s="340"/>
      <c r="H53" s="340"/>
      <c r="I53" s="341"/>
      <c r="J53" s="35" t="e">
        <f>IF(AND('Mapa final'!#REF!="Muy Baja",'Mapa final'!#REF!="Leve"),CONCATENATE("R8C",'Mapa final'!#REF!),"")</f>
        <v>#REF!</v>
      </c>
      <c r="K53" s="36" t="e">
        <f>IF(AND('Mapa final'!#REF!="Muy Baja",'Mapa final'!#REF!="Leve"),CONCATENATE("R8C",'Mapa final'!#REF!),"")</f>
        <v>#REF!</v>
      </c>
      <c r="L53" s="36" t="e">
        <f>IF(AND('Mapa final'!#REF!="Muy Baja",'Mapa final'!#REF!="Leve"),CONCATENATE("R8C",'Mapa final'!#REF!),"")</f>
        <v>#REF!</v>
      </c>
      <c r="M53" s="36" t="e">
        <f>IF(AND('Mapa final'!#REF!="Muy Baja",'Mapa final'!#REF!="Leve"),CONCATENATE("R8C",'Mapa final'!#REF!),"")</f>
        <v>#REF!</v>
      </c>
      <c r="N53" s="36" t="e">
        <f>IF(AND('Mapa final'!#REF!="Muy Baja",'Mapa final'!#REF!="Leve"),CONCATENATE("R8C",'Mapa final'!#REF!),"")</f>
        <v>#REF!</v>
      </c>
      <c r="O53" s="37" t="e">
        <f>IF(AND('Mapa final'!#REF!="Muy Baja",'Mapa final'!#REF!="Leve"),CONCATENATE("R8C",'Mapa final'!#REF!),"")</f>
        <v>#REF!</v>
      </c>
      <c r="P53" s="35" t="e">
        <f>IF(AND('Mapa final'!#REF!="Muy Baja",'Mapa final'!#REF!="Menor"),CONCATENATE("R8C",'Mapa final'!#REF!),"")</f>
        <v>#REF!</v>
      </c>
      <c r="Q53" s="36" t="e">
        <f>IF(AND('Mapa final'!#REF!="Muy Baja",'Mapa final'!#REF!="Menor"),CONCATENATE("R8C",'Mapa final'!#REF!),"")</f>
        <v>#REF!</v>
      </c>
      <c r="R53" s="36" t="e">
        <f>IF(AND('Mapa final'!#REF!="Muy Baja",'Mapa final'!#REF!="Menor"),CONCATENATE("R8C",'Mapa final'!#REF!),"")</f>
        <v>#REF!</v>
      </c>
      <c r="S53" s="36" t="e">
        <f>IF(AND('Mapa final'!#REF!="Muy Baja",'Mapa final'!#REF!="Menor"),CONCATENATE("R8C",'Mapa final'!#REF!),"")</f>
        <v>#REF!</v>
      </c>
      <c r="T53" s="36" t="e">
        <f>IF(AND('Mapa final'!#REF!="Muy Baja",'Mapa final'!#REF!="Menor"),CONCATENATE("R8C",'Mapa final'!#REF!),"")</f>
        <v>#REF!</v>
      </c>
      <c r="U53" s="37" t="e">
        <f>IF(AND('Mapa final'!#REF!="Muy Baja",'Mapa final'!#REF!="Menor"),CONCATENATE("R8C",'Mapa final'!#REF!),"")</f>
        <v>#REF!</v>
      </c>
      <c r="V53" s="26" t="e">
        <f>IF(AND('Mapa final'!#REF!="Muy Baja",'Mapa final'!#REF!="Moderado"),CONCATENATE("R8C",'Mapa final'!#REF!),"")</f>
        <v>#REF!</v>
      </c>
      <c r="W53" s="27" t="e">
        <f>IF(AND('Mapa final'!#REF!="Muy Baja",'Mapa final'!#REF!="Moderado"),CONCATENATE("R8C",'Mapa final'!#REF!),"")</f>
        <v>#REF!</v>
      </c>
      <c r="X53" s="27" t="e">
        <f>IF(AND('Mapa final'!#REF!="Muy Baja",'Mapa final'!#REF!="Moderado"),CONCATENATE("R8C",'Mapa final'!#REF!),"")</f>
        <v>#REF!</v>
      </c>
      <c r="Y53" s="27" t="e">
        <f>IF(AND('Mapa final'!#REF!="Muy Baja",'Mapa final'!#REF!="Moderado"),CONCATENATE("R8C",'Mapa final'!#REF!),"")</f>
        <v>#REF!</v>
      </c>
      <c r="Z53" s="27" t="e">
        <f>IF(AND('Mapa final'!#REF!="Muy Baja",'Mapa final'!#REF!="Moderado"),CONCATENATE("R8C",'Mapa final'!#REF!),"")</f>
        <v>#REF!</v>
      </c>
      <c r="AA53" s="28" t="e">
        <f>IF(AND('Mapa final'!#REF!="Muy Baja",'Mapa final'!#REF!="Moderado"),CONCATENATE("R8C",'Mapa final'!#REF!),"")</f>
        <v>#REF!</v>
      </c>
      <c r="AB53" s="11" t="e">
        <f>IF(AND('Mapa final'!#REF!="Muy Baja",'Mapa final'!#REF!="Mayor"),CONCATENATE("R8C",'Mapa final'!#REF!),"")</f>
        <v>#REF!</v>
      </c>
      <c r="AC53" s="12" t="e">
        <f>IF(AND('Mapa final'!#REF!="Muy Baja",'Mapa final'!#REF!="Mayor"),CONCATENATE("R8C",'Mapa final'!#REF!),"")</f>
        <v>#REF!</v>
      </c>
      <c r="AD53" s="12" t="e">
        <f>IF(AND('Mapa final'!#REF!="Muy Baja",'Mapa final'!#REF!="Mayor"),CONCATENATE("R8C",'Mapa final'!#REF!),"")</f>
        <v>#REF!</v>
      </c>
      <c r="AE53" s="12" t="e">
        <f>IF(AND('Mapa final'!#REF!="Muy Baja",'Mapa final'!#REF!="Mayor"),CONCATENATE("R8C",'Mapa final'!#REF!),"")</f>
        <v>#REF!</v>
      </c>
      <c r="AF53" s="12" t="e">
        <f>IF(AND('Mapa final'!#REF!="Muy Baja",'Mapa final'!#REF!="Mayor"),CONCATENATE("R8C",'Mapa final'!#REF!),"")</f>
        <v>#REF!</v>
      </c>
      <c r="AG53" s="13" t="e">
        <f>IF(AND('Mapa final'!#REF!="Muy Baja",'Mapa final'!#REF!="Mayor"),CONCATENATE("R8C",'Mapa final'!#REF!),"")</f>
        <v>#REF!</v>
      </c>
      <c r="AH53" s="14" t="e">
        <f>IF(AND('Mapa final'!#REF!="Muy Baja",'Mapa final'!#REF!="Catastrófico"),CONCATENATE("R8C",'Mapa final'!#REF!),"")</f>
        <v>#REF!</v>
      </c>
      <c r="AI53" s="15" t="e">
        <f>IF(AND('Mapa final'!#REF!="Muy Baja",'Mapa final'!#REF!="Catastrófico"),CONCATENATE("R8C",'Mapa final'!#REF!),"")</f>
        <v>#REF!</v>
      </c>
      <c r="AJ53" s="15" t="e">
        <f>IF(AND('Mapa final'!#REF!="Muy Baja",'Mapa final'!#REF!="Catastrófico"),CONCATENATE("R8C",'Mapa final'!#REF!),"")</f>
        <v>#REF!</v>
      </c>
      <c r="AK53" s="15" t="e">
        <f>IF(AND('Mapa final'!#REF!="Muy Baja",'Mapa final'!#REF!="Catastrófico"),CONCATENATE("R8C",'Mapa final'!#REF!),"")</f>
        <v>#REF!</v>
      </c>
      <c r="AL53" s="15" t="e">
        <f>IF(AND('Mapa final'!#REF!="Muy Baja",'Mapa final'!#REF!="Catastrófico"),CONCATENATE("R8C",'Mapa final'!#REF!),"")</f>
        <v>#REF!</v>
      </c>
      <c r="AM53" s="16" t="e">
        <f>IF(AND('Mapa final'!#REF!="Muy Baja",'Mapa final'!#REF!="Catastrófico"),CONCATENATE("R8C",'Mapa final'!#REF!),"")</f>
        <v>#REF!</v>
      </c>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row>
    <row r="54" spans="1:80" ht="15" customHeight="1" x14ac:dyDescent="0.3">
      <c r="A54" s="42"/>
      <c r="B54" s="298"/>
      <c r="C54" s="298"/>
      <c r="D54" s="299"/>
      <c r="E54" s="339"/>
      <c r="F54" s="340"/>
      <c r="G54" s="340"/>
      <c r="H54" s="340"/>
      <c r="I54" s="341"/>
      <c r="J54" s="35" t="e">
        <f>IF(AND('Mapa final'!#REF!="Muy Baja",'Mapa final'!#REF!="Leve"),CONCATENATE("R9C",'Mapa final'!#REF!),"")</f>
        <v>#REF!</v>
      </c>
      <c r="K54" s="36" t="e">
        <f>IF(AND('Mapa final'!#REF!="Muy Baja",'Mapa final'!#REF!="Leve"),CONCATENATE("R9C",'Mapa final'!#REF!),"")</f>
        <v>#REF!</v>
      </c>
      <c r="L54" s="36" t="e">
        <f>IF(AND('Mapa final'!#REF!="Muy Baja",'Mapa final'!#REF!="Leve"),CONCATENATE("R9C",'Mapa final'!#REF!),"")</f>
        <v>#REF!</v>
      </c>
      <c r="M54" s="36" t="e">
        <f>IF(AND('Mapa final'!#REF!="Muy Baja",'Mapa final'!#REF!="Leve"),CONCATENATE("R9C",'Mapa final'!#REF!),"")</f>
        <v>#REF!</v>
      </c>
      <c r="N54" s="36" t="e">
        <f>IF(AND('Mapa final'!#REF!="Muy Baja",'Mapa final'!#REF!="Leve"),CONCATENATE("R9C",'Mapa final'!#REF!),"")</f>
        <v>#REF!</v>
      </c>
      <c r="O54" s="37" t="e">
        <f>IF(AND('Mapa final'!#REF!="Muy Baja",'Mapa final'!#REF!="Leve"),CONCATENATE("R9C",'Mapa final'!#REF!),"")</f>
        <v>#REF!</v>
      </c>
      <c r="P54" s="35" t="e">
        <f>IF(AND('Mapa final'!#REF!="Muy Baja",'Mapa final'!#REF!="Menor"),CONCATENATE("R9C",'Mapa final'!#REF!),"")</f>
        <v>#REF!</v>
      </c>
      <c r="Q54" s="36" t="e">
        <f>IF(AND('Mapa final'!#REF!="Muy Baja",'Mapa final'!#REF!="Menor"),CONCATENATE("R9C",'Mapa final'!#REF!),"")</f>
        <v>#REF!</v>
      </c>
      <c r="R54" s="36" t="e">
        <f>IF(AND('Mapa final'!#REF!="Muy Baja",'Mapa final'!#REF!="Menor"),CONCATENATE("R9C",'Mapa final'!#REF!),"")</f>
        <v>#REF!</v>
      </c>
      <c r="S54" s="36" t="e">
        <f>IF(AND('Mapa final'!#REF!="Muy Baja",'Mapa final'!#REF!="Menor"),CONCATENATE("R9C",'Mapa final'!#REF!),"")</f>
        <v>#REF!</v>
      </c>
      <c r="T54" s="36" t="e">
        <f>IF(AND('Mapa final'!#REF!="Muy Baja",'Mapa final'!#REF!="Menor"),CONCATENATE("R9C",'Mapa final'!#REF!),"")</f>
        <v>#REF!</v>
      </c>
      <c r="U54" s="37" t="e">
        <f>IF(AND('Mapa final'!#REF!="Muy Baja",'Mapa final'!#REF!="Menor"),CONCATENATE("R9C",'Mapa final'!#REF!),"")</f>
        <v>#REF!</v>
      </c>
      <c r="V54" s="26" t="e">
        <f>IF(AND('Mapa final'!#REF!="Muy Baja",'Mapa final'!#REF!="Moderado"),CONCATENATE("R9C",'Mapa final'!#REF!),"")</f>
        <v>#REF!</v>
      </c>
      <c r="W54" s="27" t="e">
        <f>IF(AND('Mapa final'!#REF!="Muy Baja",'Mapa final'!#REF!="Moderado"),CONCATENATE("R9C",'Mapa final'!#REF!),"")</f>
        <v>#REF!</v>
      </c>
      <c r="X54" s="27" t="e">
        <f>IF(AND('Mapa final'!#REF!="Muy Baja",'Mapa final'!#REF!="Moderado"),CONCATENATE("R9C",'Mapa final'!#REF!),"")</f>
        <v>#REF!</v>
      </c>
      <c r="Y54" s="27" t="e">
        <f>IF(AND('Mapa final'!#REF!="Muy Baja",'Mapa final'!#REF!="Moderado"),CONCATENATE("R9C",'Mapa final'!#REF!),"")</f>
        <v>#REF!</v>
      </c>
      <c r="Z54" s="27" t="e">
        <f>IF(AND('Mapa final'!#REF!="Muy Baja",'Mapa final'!#REF!="Moderado"),CONCATENATE("R9C",'Mapa final'!#REF!),"")</f>
        <v>#REF!</v>
      </c>
      <c r="AA54" s="28" t="e">
        <f>IF(AND('Mapa final'!#REF!="Muy Baja",'Mapa final'!#REF!="Moderado"),CONCATENATE("R9C",'Mapa final'!#REF!),"")</f>
        <v>#REF!</v>
      </c>
      <c r="AB54" s="11" t="e">
        <f>IF(AND('Mapa final'!#REF!="Muy Baja",'Mapa final'!#REF!="Mayor"),CONCATENATE("R9C",'Mapa final'!#REF!),"")</f>
        <v>#REF!</v>
      </c>
      <c r="AC54" s="12" t="e">
        <f>IF(AND('Mapa final'!#REF!="Muy Baja",'Mapa final'!#REF!="Mayor"),CONCATENATE("R9C",'Mapa final'!#REF!),"")</f>
        <v>#REF!</v>
      </c>
      <c r="AD54" s="12" t="e">
        <f>IF(AND('Mapa final'!#REF!="Muy Baja",'Mapa final'!#REF!="Mayor"),CONCATENATE("R9C",'Mapa final'!#REF!),"")</f>
        <v>#REF!</v>
      </c>
      <c r="AE54" s="12" t="e">
        <f>IF(AND('Mapa final'!#REF!="Muy Baja",'Mapa final'!#REF!="Mayor"),CONCATENATE("R9C",'Mapa final'!#REF!),"")</f>
        <v>#REF!</v>
      </c>
      <c r="AF54" s="12" t="e">
        <f>IF(AND('Mapa final'!#REF!="Muy Baja",'Mapa final'!#REF!="Mayor"),CONCATENATE("R9C",'Mapa final'!#REF!),"")</f>
        <v>#REF!</v>
      </c>
      <c r="AG54" s="13" t="e">
        <f>IF(AND('Mapa final'!#REF!="Muy Baja",'Mapa final'!#REF!="Mayor"),CONCATENATE("R9C",'Mapa final'!#REF!),"")</f>
        <v>#REF!</v>
      </c>
      <c r="AH54" s="14" t="e">
        <f>IF(AND('Mapa final'!#REF!="Muy Baja",'Mapa final'!#REF!="Catastrófico"),CONCATENATE("R9C",'Mapa final'!#REF!),"")</f>
        <v>#REF!</v>
      </c>
      <c r="AI54" s="15" t="e">
        <f>IF(AND('Mapa final'!#REF!="Muy Baja",'Mapa final'!#REF!="Catastrófico"),CONCATENATE("R9C",'Mapa final'!#REF!),"")</f>
        <v>#REF!</v>
      </c>
      <c r="AJ54" s="15" t="e">
        <f>IF(AND('Mapa final'!#REF!="Muy Baja",'Mapa final'!#REF!="Catastrófico"),CONCATENATE("R9C",'Mapa final'!#REF!),"")</f>
        <v>#REF!</v>
      </c>
      <c r="AK54" s="15" t="e">
        <f>IF(AND('Mapa final'!#REF!="Muy Baja",'Mapa final'!#REF!="Catastrófico"),CONCATENATE("R9C",'Mapa final'!#REF!),"")</f>
        <v>#REF!</v>
      </c>
      <c r="AL54" s="15" t="e">
        <f>IF(AND('Mapa final'!#REF!="Muy Baja",'Mapa final'!#REF!="Catastrófico"),CONCATENATE("R9C",'Mapa final'!#REF!),"")</f>
        <v>#REF!</v>
      </c>
      <c r="AM54" s="16" t="e">
        <f>IF(AND('Mapa final'!#REF!="Muy Baja",'Mapa final'!#REF!="Catastrófico"),CONCATENATE("R9C",'Mapa final'!#REF!),"")</f>
        <v>#REF!</v>
      </c>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row>
    <row r="55" spans="1:80" ht="16.2" customHeight="1" thickBot="1" x14ac:dyDescent="0.35">
      <c r="A55" s="42"/>
      <c r="B55" s="298"/>
      <c r="C55" s="298"/>
      <c r="D55" s="299"/>
      <c r="E55" s="342"/>
      <c r="F55" s="343"/>
      <c r="G55" s="343"/>
      <c r="H55" s="343"/>
      <c r="I55" s="344"/>
      <c r="J55" s="38" t="e">
        <f>IF(AND('Mapa final'!#REF!="Muy Baja",'Mapa final'!#REF!="Leve"),CONCATENATE("R10C",'Mapa final'!#REF!),"")</f>
        <v>#REF!</v>
      </c>
      <c r="K55" s="39" t="e">
        <f>IF(AND('Mapa final'!#REF!="Muy Baja",'Mapa final'!#REF!="Leve"),CONCATENATE("R10C",'Mapa final'!#REF!),"")</f>
        <v>#REF!</v>
      </c>
      <c r="L55" s="39" t="e">
        <f>IF(AND('Mapa final'!#REF!="Muy Baja",'Mapa final'!#REF!="Leve"),CONCATENATE("R10C",'Mapa final'!#REF!),"")</f>
        <v>#REF!</v>
      </c>
      <c r="M55" s="39" t="e">
        <f>IF(AND('Mapa final'!#REF!="Muy Baja",'Mapa final'!#REF!="Leve"),CONCATENATE("R10C",'Mapa final'!#REF!),"")</f>
        <v>#REF!</v>
      </c>
      <c r="N55" s="39" t="e">
        <f>IF(AND('Mapa final'!#REF!="Muy Baja",'Mapa final'!#REF!="Leve"),CONCATENATE("R10C",'Mapa final'!#REF!),"")</f>
        <v>#REF!</v>
      </c>
      <c r="O55" s="40" t="e">
        <f>IF(AND('Mapa final'!#REF!="Muy Baja",'Mapa final'!#REF!="Leve"),CONCATENATE("R10C",'Mapa final'!#REF!),"")</f>
        <v>#REF!</v>
      </c>
      <c r="P55" s="38" t="e">
        <f>IF(AND('Mapa final'!#REF!="Muy Baja",'Mapa final'!#REF!="Menor"),CONCATENATE("R10C",'Mapa final'!#REF!),"")</f>
        <v>#REF!</v>
      </c>
      <c r="Q55" s="39" t="e">
        <f>IF(AND('Mapa final'!#REF!="Muy Baja",'Mapa final'!#REF!="Menor"),CONCATENATE("R10C",'Mapa final'!#REF!),"")</f>
        <v>#REF!</v>
      </c>
      <c r="R55" s="39" t="e">
        <f>IF(AND('Mapa final'!#REF!="Muy Baja",'Mapa final'!#REF!="Menor"),CONCATENATE("R10C",'Mapa final'!#REF!),"")</f>
        <v>#REF!</v>
      </c>
      <c r="S55" s="39" t="e">
        <f>IF(AND('Mapa final'!#REF!="Muy Baja",'Mapa final'!#REF!="Menor"),CONCATENATE("R10C",'Mapa final'!#REF!),"")</f>
        <v>#REF!</v>
      </c>
      <c r="T55" s="39" t="e">
        <f>IF(AND('Mapa final'!#REF!="Muy Baja",'Mapa final'!#REF!="Menor"),CONCATENATE("R10C",'Mapa final'!#REF!),"")</f>
        <v>#REF!</v>
      </c>
      <c r="U55" s="40" t="e">
        <f>IF(AND('Mapa final'!#REF!="Muy Baja",'Mapa final'!#REF!="Menor"),CONCATENATE("R10C",'Mapa final'!#REF!),"")</f>
        <v>#REF!</v>
      </c>
      <c r="V55" s="29" t="e">
        <f>IF(AND('Mapa final'!#REF!="Muy Baja",'Mapa final'!#REF!="Moderado"),CONCATENATE("R10C",'Mapa final'!#REF!),"")</f>
        <v>#REF!</v>
      </c>
      <c r="W55" s="30" t="e">
        <f>IF(AND('Mapa final'!#REF!="Muy Baja",'Mapa final'!#REF!="Moderado"),CONCATENATE("R10C",'Mapa final'!#REF!),"")</f>
        <v>#REF!</v>
      </c>
      <c r="X55" s="30" t="e">
        <f>IF(AND('Mapa final'!#REF!="Muy Baja",'Mapa final'!#REF!="Moderado"),CONCATENATE("R10C",'Mapa final'!#REF!),"")</f>
        <v>#REF!</v>
      </c>
      <c r="Y55" s="30" t="e">
        <f>IF(AND('Mapa final'!#REF!="Muy Baja",'Mapa final'!#REF!="Moderado"),CONCATENATE("R10C",'Mapa final'!#REF!),"")</f>
        <v>#REF!</v>
      </c>
      <c r="Z55" s="30" t="e">
        <f>IF(AND('Mapa final'!#REF!="Muy Baja",'Mapa final'!#REF!="Moderado"),CONCATENATE("R10C",'Mapa final'!#REF!),"")</f>
        <v>#REF!</v>
      </c>
      <c r="AA55" s="31" t="e">
        <f>IF(AND('Mapa final'!#REF!="Muy Baja",'Mapa final'!#REF!="Moderado"),CONCATENATE("R10C",'Mapa final'!#REF!),"")</f>
        <v>#REF!</v>
      </c>
      <c r="AB55" s="17" t="e">
        <f>IF(AND('Mapa final'!#REF!="Muy Baja",'Mapa final'!#REF!="Mayor"),CONCATENATE("R10C",'Mapa final'!#REF!),"")</f>
        <v>#REF!</v>
      </c>
      <c r="AC55" s="18" t="e">
        <f>IF(AND('Mapa final'!#REF!="Muy Baja",'Mapa final'!#REF!="Mayor"),CONCATENATE("R10C",'Mapa final'!#REF!),"")</f>
        <v>#REF!</v>
      </c>
      <c r="AD55" s="18" t="e">
        <f>IF(AND('Mapa final'!#REF!="Muy Baja",'Mapa final'!#REF!="Mayor"),CONCATENATE("R10C",'Mapa final'!#REF!),"")</f>
        <v>#REF!</v>
      </c>
      <c r="AE55" s="18" t="e">
        <f>IF(AND('Mapa final'!#REF!="Muy Baja",'Mapa final'!#REF!="Mayor"),CONCATENATE("R10C",'Mapa final'!#REF!),"")</f>
        <v>#REF!</v>
      </c>
      <c r="AF55" s="18" t="e">
        <f>IF(AND('Mapa final'!#REF!="Muy Baja",'Mapa final'!#REF!="Mayor"),CONCATENATE("R10C",'Mapa final'!#REF!),"")</f>
        <v>#REF!</v>
      </c>
      <c r="AG55" s="19" t="e">
        <f>IF(AND('Mapa final'!#REF!="Muy Baja",'Mapa final'!#REF!="Mayor"),CONCATENATE("R10C",'Mapa final'!#REF!),"")</f>
        <v>#REF!</v>
      </c>
      <c r="AH55" s="20" t="e">
        <f>IF(AND('Mapa final'!#REF!="Muy Baja",'Mapa final'!#REF!="Catastrófico"),CONCATENATE("R10C",'Mapa final'!#REF!),"")</f>
        <v>#REF!</v>
      </c>
      <c r="AI55" s="21" t="e">
        <f>IF(AND('Mapa final'!#REF!="Muy Baja",'Mapa final'!#REF!="Catastrófico"),CONCATENATE("R10C",'Mapa final'!#REF!),"")</f>
        <v>#REF!</v>
      </c>
      <c r="AJ55" s="21" t="e">
        <f>IF(AND('Mapa final'!#REF!="Muy Baja",'Mapa final'!#REF!="Catastrófico"),CONCATENATE("R10C",'Mapa final'!#REF!),"")</f>
        <v>#REF!</v>
      </c>
      <c r="AK55" s="21" t="e">
        <f>IF(AND('Mapa final'!#REF!="Muy Baja",'Mapa final'!#REF!="Catastrófico"),CONCATENATE("R10C",'Mapa final'!#REF!),"")</f>
        <v>#REF!</v>
      </c>
      <c r="AL55" s="21" t="e">
        <f>IF(AND('Mapa final'!#REF!="Muy Baja",'Mapa final'!#REF!="Catastrófico"),CONCATENATE("R10C",'Mapa final'!#REF!),"")</f>
        <v>#REF!</v>
      </c>
      <c r="AM55" s="22" t="e">
        <f>IF(AND('Mapa final'!#REF!="Muy Baja",'Mapa final'!#REF!="Catastrófico"),CONCATENATE("R10C",'Mapa final'!#REF!),"")</f>
        <v>#REF!</v>
      </c>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row>
    <row r="56" spans="1:80" x14ac:dyDescent="0.3">
      <c r="A56" s="42"/>
      <c r="B56" s="42"/>
      <c r="C56" s="42"/>
      <c r="D56" s="42"/>
      <c r="E56" s="42"/>
      <c r="F56" s="42"/>
      <c r="G56" s="42"/>
      <c r="H56" s="42"/>
      <c r="I56" s="42"/>
      <c r="J56" s="336" t="s">
        <v>213</v>
      </c>
      <c r="K56" s="337"/>
      <c r="L56" s="337"/>
      <c r="M56" s="337"/>
      <c r="N56" s="337"/>
      <c r="O56" s="338"/>
      <c r="P56" s="336" t="s">
        <v>214</v>
      </c>
      <c r="Q56" s="337"/>
      <c r="R56" s="337"/>
      <c r="S56" s="337"/>
      <c r="T56" s="337"/>
      <c r="U56" s="338"/>
      <c r="V56" s="336" t="s">
        <v>215</v>
      </c>
      <c r="W56" s="337"/>
      <c r="X56" s="337"/>
      <c r="Y56" s="337"/>
      <c r="Z56" s="337"/>
      <c r="AA56" s="338"/>
      <c r="AB56" s="336" t="s">
        <v>216</v>
      </c>
      <c r="AC56" s="345"/>
      <c r="AD56" s="337"/>
      <c r="AE56" s="337"/>
      <c r="AF56" s="337"/>
      <c r="AG56" s="338"/>
      <c r="AH56" s="336" t="s">
        <v>217</v>
      </c>
      <c r="AI56" s="337"/>
      <c r="AJ56" s="337"/>
      <c r="AK56" s="337"/>
      <c r="AL56" s="337"/>
      <c r="AM56" s="338"/>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row>
    <row r="57" spans="1:80" x14ac:dyDescent="0.3">
      <c r="A57" s="42"/>
      <c r="B57" s="42"/>
      <c r="C57" s="42"/>
      <c r="D57" s="42"/>
      <c r="E57" s="42"/>
      <c r="F57" s="42"/>
      <c r="G57" s="42"/>
      <c r="H57" s="42"/>
      <c r="I57" s="42"/>
      <c r="J57" s="339"/>
      <c r="K57" s="340"/>
      <c r="L57" s="340"/>
      <c r="M57" s="340"/>
      <c r="N57" s="340"/>
      <c r="O57" s="341"/>
      <c r="P57" s="339"/>
      <c r="Q57" s="340"/>
      <c r="R57" s="340"/>
      <c r="S57" s="340"/>
      <c r="T57" s="340"/>
      <c r="U57" s="341"/>
      <c r="V57" s="339"/>
      <c r="W57" s="340"/>
      <c r="X57" s="340"/>
      <c r="Y57" s="340"/>
      <c r="Z57" s="340"/>
      <c r="AA57" s="341"/>
      <c r="AB57" s="339"/>
      <c r="AC57" s="340"/>
      <c r="AD57" s="340"/>
      <c r="AE57" s="340"/>
      <c r="AF57" s="340"/>
      <c r="AG57" s="341"/>
      <c r="AH57" s="339"/>
      <c r="AI57" s="340"/>
      <c r="AJ57" s="340"/>
      <c r="AK57" s="340"/>
      <c r="AL57" s="340"/>
      <c r="AM57" s="341"/>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row>
    <row r="58" spans="1:80" x14ac:dyDescent="0.3">
      <c r="A58" s="42"/>
      <c r="B58" s="42"/>
      <c r="C58" s="42"/>
      <c r="D58" s="42"/>
      <c r="E58" s="42"/>
      <c r="F58" s="42"/>
      <c r="G58" s="42"/>
      <c r="H58" s="42"/>
      <c r="I58" s="42"/>
      <c r="J58" s="339"/>
      <c r="K58" s="340"/>
      <c r="L58" s="340"/>
      <c r="M58" s="340"/>
      <c r="N58" s="340"/>
      <c r="O58" s="341"/>
      <c r="P58" s="339"/>
      <c r="Q58" s="340"/>
      <c r="R58" s="340"/>
      <c r="S58" s="340"/>
      <c r="T58" s="340"/>
      <c r="U58" s="341"/>
      <c r="V58" s="339"/>
      <c r="W58" s="340"/>
      <c r="X58" s="340"/>
      <c r="Y58" s="340"/>
      <c r="Z58" s="340"/>
      <c r="AA58" s="341"/>
      <c r="AB58" s="339"/>
      <c r="AC58" s="340"/>
      <c r="AD58" s="340"/>
      <c r="AE58" s="340"/>
      <c r="AF58" s="340"/>
      <c r="AG58" s="341"/>
      <c r="AH58" s="339"/>
      <c r="AI58" s="340"/>
      <c r="AJ58" s="340"/>
      <c r="AK58" s="340"/>
      <c r="AL58" s="340"/>
      <c r="AM58" s="341"/>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42"/>
    </row>
    <row r="59" spans="1:80" x14ac:dyDescent="0.3">
      <c r="A59" s="42"/>
      <c r="B59" s="42"/>
      <c r="C59" s="42"/>
      <c r="D59" s="42"/>
      <c r="E59" s="42"/>
      <c r="F59" s="42"/>
      <c r="G59" s="42"/>
      <c r="H59" s="42"/>
      <c r="I59" s="42"/>
      <c r="J59" s="339"/>
      <c r="K59" s="340"/>
      <c r="L59" s="340"/>
      <c r="M59" s="340"/>
      <c r="N59" s="340"/>
      <c r="O59" s="341"/>
      <c r="P59" s="339"/>
      <c r="Q59" s="340"/>
      <c r="R59" s="340"/>
      <c r="S59" s="340"/>
      <c r="T59" s="340"/>
      <c r="U59" s="341"/>
      <c r="V59" s="339"/>
      <c r="W59" s="340"/>
      <c r="X59" s="340"/>
      <c r="Y59" s="340"/>
      <c r="Z59" s="340"/>
      <c r="AA59" s="341"/>
      <c r="AB59" s="339"/>
      <c r="AC59" s="340"/>
      <c r="AD59" s="340"/>
      <c r="AE59" s="340"/>
      <c r="AF59" s="340"/>
      <c r="AG59" s="341"/>
      <c r="AH59" s="339"/>
      <c r="AI59" s="340"/>
      <c r="AJ59" s="340"/>
      <c r="AK59" s="340"/>
      <c r="AL59" s="340"/>
      <c r="AM59" s="341"/>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row>
    <row r="60" spans="1:80" x14ac:dyDescent="0.3">
      <c r="A60" s="42"/>
      <c r="B60" s="42"/>
      <c r="C60" s="42"/>
      <c r="D60" s="42"/>
      <c r="E60" s="42"/>
      <c r="F60" s="42"/>
      <c r="G60" s="42"/>
      <c r="H60" s="42"/>
      <c r="I60" s="42"/>
      <c r="J60" s="339"/>
      <c r="K60" s="340"/>
      <c r="L60" s="340"/>
      <c r="M60" s="340"/>
      <c r="N60" s="340"/>
      <c r="O60" s="341"/>
      <c r="P60" s="339"/>
      <c r="Q60" s="340"/>
      <c r="R60" s="340"/>
      <c r="S60" s="340"/>
      <c r="T60" s="340"/>
      <c r="U60" s="341"/>
      <c r="V60" s="339"/>
      <c r="W60" s="340"/>
      <c r="X60" s="340"/>
      <c r="Y60" s="340"/>
      <c r="Z60" s="340"/>
      <c r="AA60" s="341"/>
      <c r="AB60" s="339"/>
      <c r="AC60" s="340"/>
      <c r="AD60" s="340"/>
      <c r="AE60" s="340"/>
      <c r="AF60" s="340"/>
      <c r="AG60" s="341"/>
      <c r="AH60" s="339"/>
      <c r="AI60" s="340"/>
      <c r="AJ60" s="340"/>
      <c r="AK60" s="340"/>
      <c r="AL60" s="340"/>
      <c r="AM60" s="341"/>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row>
    <row r="61" spans="1:80" ht="15" thickBot="1" x14ac:dyDescent="0.35">
      <c r="A61" s="42"/>
      <c r="B61" s="42"/>
      <c r="C61" s="42"/>
      <c r="D61" s="42"/>
      <c r="E61" s="42"/>
      <c r="F61" s="42"/>
      <c r="G61" s="42"/>
      <c r="H61" s="42"/>
      <c r="I61" s="42"/>
      <c r="J61" s="342"/>
      <c r="K61" s="343"/>
      <c r="L61" s="343"/>
      <c r="M61" s="343"/>
      <c r="N61" s="343"/>
      <c r="O61" s="344"/>
      <c r="P61" s="342"/>
      <c r="Q61" s="343"/>
      <c r="R61" s="343"/>
      <c r="S61" s="343"/>
      <c r="T61" s="343"/>
      <c r="U61" s="344"/>
      <c r="V61" s="342"/>
      <c r="W61" s="343"/>
      <c r="X61" s="343"/>
      <c r="Y61" s="343"/>
      <c r="Z61" s="343"/>
      <c r="AA61" s="344"/>
      <c r="AB61" s="342"/>
      <c r="AC61" s="343"/>
      <c r="AD61" s="343"/>
      <c r="AE61" s="343"/>
      <c r="AF61" s="343"/>
      <c r="AG61" s="344"/>
      <c r="AH61" s="342"/>
      <c r="AI61" s="343"/>
      <c r="AJ61" s="343"/>
      <c r="AK61" s="343"/>
      <c r="AL61" s="343"/>
      <c r="AM61" s="344"/>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row>
    <row r="62" spans="1:80" x14ac:dyDescent="0.3">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row>
    <row r="63" spans="1:80" ht="15" customHeight="1" x14ac:dyDescent="0.3">
      <c r="A63" s="42"/>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2"/>
      <c r="AV63" s="42"/>
      <c r="AW63" s="42"/>
      <c r="AX63" s="42"/>
      <c r="AY63" s="42"/>
      <c r="AZ63" s="42"/>
      <c r="BA63" s="42"/>
      <c r="BB63" s="42"/>
      <c r="BC63" s="42"/>
      <c r="BD63" s="42"/>
      <c r="BE63" s="42"/>
      <c r="BF63" s="42"/>
      <c r="BG63" s="42"/>
      <c r="BH63" s="42"/>
    </row>
    <row r="64" spans="1:80" ht="15" customHeight="1" x14ac:dyDescent="0.3">
      <c r="A64" s="42"/>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2"/>
      <c r="AV64" s="42"/>
      <c r="AW64" s="42"/>
      <c r="AX64" s="42"/>
      <c r="AY64" s="42"/>
      <c r="AZ64" s="42"/>
      <c r="BA64" s="42"/>
      <c r="BB64" s="42"/>
      <c r="BC64" s="42"/>
      <c r="BD64" s="42"/>
      <c r="BE64" s="42"/>
      <c r="BF64" s="42"/>
      <c r="BG64" s="42"/>
      <c r="BH64" s="42"/>
    </row>
    <row r="65" spans="1:60" x14ac:dyDescent="0.3">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row>
    <row r="66" spans="1:60" x14ac:dyDescent="0.3">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row>
    <row r="67" spans="1:60" x14ac:dyDescent="0.3">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row>
    <row r="68" spans="1:60" x14ac:dyDescent="0.3">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row>
    <row r="69" spans="1:60" x14ac:dyDescent="0.3">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row>
    <row r="70" spans="1:60" x14ac:dyDescent="0.3">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row>
    <row r="71" spans="1:60" x14ac:dyDescent="0.3">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row>
    <row r="72" spans="1:60" x14ac:dyDescent="0.3">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row>
    <row r="73" spans="1:60" x14ac:dyDescent="0.3">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row>
    <row r="74" spans="1:60" x14ac:dyDescent="0.3">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row>
    <row r="75" spans="1:60" x14ac:dyDescent="0.3">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row>
    <row r="76" spans="1:60" x14ac:dyDescent="0.3">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row>
    <row r="77" spans="1:60" x14ac:dyDescent="0.3">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row>
    <row r="78" spans="1:60" x14ac:dyDescent="0.3">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row>
    <row r="79" spans="1:60" x14ac:dyDescent="0.3">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row>
    <row r="80" spans="1:60" x14ac:dyDescent="0.3">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row>
    <row r="81" spans="1:60" x14ac:dyDescent="0.3">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row>
    <row r="82" spans="1:60" x14ac:dyDescent="0.3">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row>
    <row r="83" spans="1:60" x14ac:dyDescent="0.3">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row>
    <row r="84" spans="1:60" x14ac:dyDescent="0.3">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row>
    <row r="85" spans="1:60" x14ac:dyDescent="0.3">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row>
    <row r="86" spans="1:60" x14ac:dyDescent="0.3">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row>
    <row r="87" spans="1:60" x14ac:dyDescent="0.3">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row>
    <row r="88" spans="1:60" x14ac:dyDescent="0.3">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row>
    <row r="89" spans="1:60" x14ac:dyDescent="0.3">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row>
    <row r="90" spans="1:60" x14ac:dyDescent="0.3">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row>
    <row r="91" spans="1:60" x14ac:dyDescent="0.3">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row>
    <row r="92" spans="1:60" x14ac:dyDescent="0.3">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row>
    <row r="93" spans="1:60" x14ac:dyDescent="0.3">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row>
    <row r="94" spans="1:60" x14ac:dyDescent="0.3">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row>
    <row r="95" spans="1:60" x14ac:dyDescent="0.3">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row>
    <row r="96" spans="1:60" x14ac:dyDescent="0.3">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row>
    <row r="97" spans="1:60" x14ac:dyDescent="0.3">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row>
    <row r="98" spans="1:60" x14ac:dyDescent="0.3">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row>
    <row r="99" spans="1:60" x14ac:dyDescent="0.3">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row>
    <row r="100" spans="1:60" x14ac:dyDescent="0.3">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row>
    <row r="101" spans="1:60" x14ac:dyDescent="0.3">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row>
    <row r="102" spans="1:60" x14ac:dyDescent="0.3">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row>
    <row r="103" spans="1:60" x14ac:dyDescent="0.3">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row>
    <row r="104" spans="1:60" x14ac:dyDescent="0.3">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row>
    <row r="105" spans="1:60" x14ac:dyDescent="0.3">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row>
    <row r="106" spans="1:60" x14ac:dyDescent="0.3">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row>
    <row r="107" spans="1:60" x14ac:dyDescent="0.3">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row>
    <row r="108" spans="1:60" x14ac:dyDescent="0.3">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row>
    <row r="109" spans="1:60" x14ac:dyDescent="0.3">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row>
    <row r="110" spans="1:60" x14ac:dyDescent="0.3">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row>
    <row r="111" spans="1:60" x14ac:dyDescent="0.3">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row>
    <row r="112" spans="1:60" x14ac:dyDescent="0.3">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row>
    <row r="113" spans="1:60" x14ac:dyDescent="0.3">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row>
    <row r="114" spans="1:60" x14ac:dyDescent="0.3">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row>
    <row r="115" spans="1:60" x14ac:dyDescent="0.3">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row>
    <row r="116" spans="1:60" x14ac:dyDescent="0.3">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row>
    <row r="117" spans="1:60" x14ac:dyDescent="0.3">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row>
    <row r="118" spans="1:60" x14ac:dyDescent="0.3">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row>
    <row r="119" spans="1:60" x14ac:dyDescent="0.3">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row>
    <row r="120" spans="1:60" x14ac:dyDescent="0.3">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row>
    <row r="121" spans="1:60" x14ac:dyDescent="0.3">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row>
    <row r="122" spans="1:60" x14ac:dyDescent="0.3">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row>
    <row r="123" spans="1:60" x14ac:dyDescent="0.3">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row>
    <row r="124" spans="1:60" x14ac:dyDescent="0.3">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row>
    <row r="125" spans="1:60" x14ac:dyDescent="0.3">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row>
    <row r="126" spans="1:60" x14ac:dyDescent="0.3">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row>
    <row r="127" spans="1:60" x14ac:dyDescent="0.3">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row>
    <row r="128" spans="1:60" x14ac:dyDescent="0.3">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row>
    <row r="129" spans="1:60" x14ac:dyDescent="0.3">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row>
    <row r="130" spans="1:60" x14ac:dyDescent="0.3">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row>
    <row r="131" spans="1:60" x14ac:dyDescent="0.3">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row>
    <row r="132" spans="1:60" x14ac:dyDescent="0.3">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row>
    <row r="133" spans="1:60" x14ac:dyDescent="0.3">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c r="BH133" s="42"/>
    </row>
    <row r="134" spans="1:60" x14ac:dyDescent="0.3">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row>
    <row r="135" spans="1:60" x14ac:dyDescent="0.3">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2"/>
    </row>
    <row r="136" spans="1:60" x14ac:dyDescent="0.3">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c r="BH136" s="42"/>
    </row>
    <row r="137" spans="1:60" x14ac:dyDescent="0.3">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2"/>
      <c r="BH137" s="42"/>
    </row>
    <row r="138" spans="1:60" x14ac:dyDescent="0.3">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row>
    <row r="139" spans="1:60" x14ac:dyDescent="0.3">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row>
    <row r="140" spans="1:60" x14ac:dyDescent="0.3">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row>
    <row r="141" spans="1:60" x14ac:dyDescent="0.3">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row>
    <row r="142" spans="1:60" x14ac:dyDescent="0.3">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row>
    <row r="143" spans="1:60" x14ac:dyDescent="0.3">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c r="BG143" s="42"/>
      <c r="BH143" s="42"/>
    </row>
    <row r="144" spans="1:60" x14ac:dyDescent="0.3">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c r="BH144" s="42"/>
    </row>
    <row r="145" spans="1:60" x14ac:dyDescent="0.3">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42"/>
      <c r="BH145" s="42"/>
    </row>
    <row r="146" spans="1:60" x14ac:dyDescent="0.3">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c r="BG146" s="42"/>
      <c r="BH146" s="42"/>
    </row>
    <row r="147" spans="1:60" x14ac:dyDescent="0.3">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c r="BG147" s="42"/>
      <c r="BH147" s="42"/>
    </row>
    <row r="148" spans="1:60" x14ac:dyDescent="0.3">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2"/>
      <c r="BA148" s="42"/>
      <c r="BB148" s="42"/>
      <c r="BC148" s="42"/>
      <c r="BD148" s="42"/>
      <c r="BE148" s="42"/>
      <c r="BF148" s="42"/>
      <c r="BG148" s="42"/>
      <c r="BH148" s="42"/>
    </row>
    <row r="149" spans="1:60" x14ac:dyDescent="0.3">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2"/>
      <c r="BA149" s="42"/>
      <c r="BB149" s="42"/>
      <c r="BC149" s="42"/>
      <c r="BD149" s="42"/>
      <c r="BE149" s="42"/>
      <c r="BF149" s="42"/>
      <c r="BG149" s="42"/>
      <c r="BH149" s="42"/>
    </row>
    <row r="150" spans="1:60" x14ac:dyDescent="0.3">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c r="BG150" s="42"/>
      <c r="BH150" s="42"/>
    </row>
    <row r="151" spans="1:60" x14ac:dyDescent="0.3">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2"/>
      <c r="BG151" s="42"/>
      <c r="BH151" s="42"/>
    </row>
    <row r="152" spans="1:60" x14ac:dyDescent="0.3">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42"/>
      <c r="BB152" s="42"/>
      <c r="BC152" s="42"/>
      <c r="BD152" s="42"/>
      <c r="BE152" s="42"/>
      <c r="BF152" s="42"/>
      <c r="BG152" s="42"/>
      <c r="BH152" s="42"/>
    </row>
    <row r="153" spans="1:60" x14ac:dyDescent="0.3">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42"/>
      <c r="BB153" s="42"/>
      <c r="BC153" s="42"/>
      <c r="BD153" s="42"/>
      <c r="BE153" s="42"/>
      <c r="BF153" s="42"/>
      <c r="BG153" s="42"/>
      <c r="BH153" s="42"/>
    </row>
    <row r="154" spans="1:60" x14ac:dyDescent="0.3">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row>
    <row r="155" spans="1:60" x14ac:dyDescent="0.3">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BF155" s="42"/>
      <c r="BG155" s="42"/>
      <c r="BH155" s="42"/>
    </row>
    <row r="156" spans="1:60" x14ac:dyDescent="0.3">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row>
    <row r="157" spans="1:60" x14ac:dyDescent="0.3">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row>
    <row r="158" spans="1:60" x14ac:dyDescent="0.3">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row>
    <row r="159" spans="1:60" x14ac:dyDescent="0.3">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2"/>
      <c r="BA159" s="42"/>
      <c r="BB159" s="42"/>
      <c r="BC159" s="42"/>
      <c r="BD159" s="42"/>
      <c r="BE159" s="42"/>
      <c r="BF159" s="42"/>
      <c r="BG159" s="42"/>
      <c r="BH159" s="42"/>
    </row>
    <row r="160" spans="1:60" x14ac:dyDescent="0.3">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row>
    <row r="161" spans="1:60" x14ac:dyDescent="0.3">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row>
    <row r="162" spans="1:60" x14ac:dyDescent="0.3">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42"/>
      <c r="BF162" s="42"/>
      <c r="BG162" s="42"/>
      <c r="BH162" s="42"/>
    </row>
    <row r="163" spans="1:60" x14ac:dyDescent="0.3">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2"/>
      <c r="BA163" s="42"/>
      <c r="BB163" s="42"/>
      <c r="BC163" s="42"/>
      <c r="BD163" s="42"/>
      <c r="BE163" s="42"/>
      <c r="BF163" s="42"/>
      <c r="BG163" s="42"/>
      <c r="BH163" s="42"/>
    </row>
    <row r="164" spans="1:60" x14ac:dyDescent="0.3">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row>
    <row r="165" spans="1:60" x14ac:dyDescent="0.3">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2"/>
      <c r="BA165" s="42"/>
      <c r="BB165" s="42"/>
      <c r="BC165" s="42"/>
      <c r="BD165" s="42"/>
      <c r="BE165" s="42"/>
      <c r="BF165" s="42"/>
      <c r="BG165" s="42"/>
      <c r="BH165" s="42"/>
    </row>
    <row r="166" spans="1:60" x14ac:dyDescent="0.3">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row>
    <row r="167" spans="1:60" x14ac:dyDescent="0.3">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2"/>
      <c r="BA167" s="42"/>
      <c r="BB167" s="42"/>
      <c r="BC167" s="42"/>
      <c r="BD167" s="42"/>
      <c r="BE167" s="42"/>
      <c r="BF167" s="42"/>
      <c r="BG167" s="42"/>
      <c r="BH167" s="42"/>
    </row>
    <row r="168" spans="1:60" x14ac:dyDescent="0.3">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row>
    <row r="169" spans="1:60" x14ac:dyDescent="0.3">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2"/>
      <c r="BF169" s="42"/>
      <c r="BG169" s="42"/>
      <c r="BH169" s="42"/>
    </row>
    <row r="170" spans="1:60" x14ac:dyDescent="0.3">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c r="BF170" s="42"/>
      <c r="BG170" s="42"/>
      <c r="BH170" s="42"/>
    </row>
    <row r="171" spans="1:60" x14ac:dyDescent="0.3">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2"/>
      <c r="BA171" s="42"/>
      <c r="BB171" s="42"/>
      <c r="BC171" s="42"/>
      <c r="BD171" s="42"/>
      <c r="BE171" s="42"/>
      <c r="BF171" s="42"/>
      <c r="BG171" s="42"/>
      <c r="BH171" s="42"/>
    </row>
    <row r="172" spans="1:60" x14ac:dyDescent="0.3">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c r="BE172" s="42"/>
      <c r="BF172" s="42"/>
      <c r="BG172" s="42"/>
      <c r="BH172" s="42"/>
    </row>
    <row r="173" spans="1:60" x14ac:dyDescent="0.3">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2"/>
      <c r="BA173" s="42"/>
      <c r="BB173" s="42"/>
      <c r="BC173" s="42"/>
      <c r="BD173" s="42"/>
      <c r="BE173" s="42"/>
      <c r="BF173" s="42"/>
      <c r="BG173" s="42"/>
      <c r="BH173" s="42"/>
    </row>
    <row r="174" spans="1:60" x14ac:dyDescent="0.3">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2"/>
      <c r="BA174" s="42"/>
      <c r="BB174" s="42"/>
      <c r="BC174" s="42"/>
      <c r="BD174" s="42"/>
      <c r="BE174" s="42"/>
      <c r="BF174" s="42"/>
      <c r="BG174" s="42"/>
      <c r="BH174" s="42"/>
    </row>
    <row r="175" spans="1:60" x14ac:dyDescent="0.3">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2"/>
      <c r="BA175" s="42"/>
      <c r="BB175" s="42"/>
      <c r="BC175" s="42"/>
      <c r="BD175" s="42"/>
      <c r="BE175" s="42"/>
      <c r="BF175" s="42"/>
      <c r="BG175" s="42"/>
      <c r="BH175" s="42"/>
    </row>
    <row r="176" spans="1:60" x14ac:dyDescent="0.3">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2"/>
      <c r="BA176" s="42"/>
      <c r="BB176" s="42"/>
      <c r="BC176" s="42"/>
      <c r="BD176" s="42"/>
      <c r="BE176" s="42"/>
      <c r="BF176" s="42"/>
      <c r="BG176" s="42"/>
      <c r="BH176" s="42"/>
    </row>
    <row r="177" spans="1:60" x14ac:dyDescent="0.3">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2"/>
      <c r="BA177" s="42"/>
      <c r="BB177" s="42"/>
      <c r="BC177" s="42"/>
      <c r="BD177" s="42"/>
      <c r="BE177" s="42"/>
      <c r="BF177" s="42"/>
      <c r="BG177" s="42"/>
      <c r="BH177" s="42"/>
    </row>
    <row r="178" spans="1:60" x14ac:dyDescent="0.3">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2"/>
      <c r="BA178" s="42"/>
      <c r="BB178" s="42"/>
      <c r="BC178" s="42"/>
      <c r="BD178" s="42"/>
      <c r="BE178" s="42"/>
      <c r="BF178" s="42"/>
      <c r="BG178" s="42"/>
      <c r="BH178" s="42"/>
    </row>
    <row r="179" spans="1:60" x14ac:dyDescent="0.3">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2"/>
      <c r="BA179" s="42"/>
      <c r="BB179" s="42"/>
      <c r="BC179" s="42"/>
      <c r="BD179" s="42"/>
      <c r="BE179" s="42"/>
      <c r="BF179" s="42"/>
      <c r="BG179" s="42"/>
      <c r="BH179" s="42"/>
    </row>
    <row r="180" spans="1:60" x14ac:dyDescent="0.3">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2"/>
      <c r="BA180" s="42"/>
      <c r="BB180" s="42"/>
      <c r="BC180" s="42"/>
      <c r="BD180" s="42"/>
      <c r="BE180" s="42"/>
      <c r="BF180" s="42"/>
      <c r="BG180" s="42"/>
      <c r="BH180" s="42"/>
    </row>
    <row r="181" spans="1:60" x14ac:dyDescent="0.3">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2"/>
      <c r="BA181" s="42"/>
      <c r="BB181" s="42"/>
      <c r="BC181" s="42"/>
      <c r="BD181" s="42"/>
      <c r="BE181" s="42"/>
      <c r="BF181" s="42"/>
      <c r="BG181" s="42"/>
      <c r="BH181" s="42"/>
    </row>
    <row r="182" spans="1:60" x14ac:dyDescent="0.3">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2"/>
      <c r="BD182" s="42"/>
      <c r="BE182" s="42"/>
      <c r="BF182" s="42"/>
      <c r="BG182" s="42"/>
      <c r="BH182" s="42"/>
    </row>
    <row r="183" spans="1:60" x14ac:dyDescent="0.3">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2"/>
      <c r="BA183" s="42"/>
      <c r="BB183" s="42"/>
      <c r="BC183" s="42"/>
      <c r="BD183" s="42"/>
      <c r="BE183" s="42"/>
      <c r="BF183" s="42"/>
      <c r="BG183" s="42"/>
      <c r="BH183" s="42"/>
    </row>
    <row r="184" spans="1:60" x14ac:dyDescent="0.3">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2"/>
      <c r="BA184" s="42"/>
      <c r="BB184" s="42"/>
      <c r="BC184" s="42"/>
      <c r="BD184" s="42"/>
      <c r="BE184" s="42"/>
      <c r="BF184" s="42"/>
      <c r="BG184" s="42"/>
      <c r="BH184" s="42"/>
    </row>
    <row r="185" spans="1:60" x14ac:dyDescent="0.3">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2"/>
      <c r="BA185" s="42"/>
      <c r="BB185" s="42"/>
      <c r="BC185" s="42"/>
      <c r="BD185" s="42"/>
      <c r="BE185" s="42"/>
      <c r="BF185" s="42"/>
      <c r="BG185" s="42"/>
      <c r="BH185" s="42"/>
    </row>
    <row r="186" spans="1:60" x14ac:dyDescent="0.3">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c r="BH186" s="42"/>
    </row>
    <row r="187" spans="1:60" x14ac:dyDescent="0.3">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2"/>
      <c r="BA187" s="42"/>
      <c r="BB187" s="42"/>
      <c r="BC187" s="42"/>
      <c r="BD187" s="42"/>
      <c r="BE187" s="42"/>
      <c r="BF187" s="42"/>
      <c r="BG187" s="42"/>
      <c r="BH187" s="42"/>
    </row>
    <row r="188" spans="1:60" x14ac:dyDescent="0.3">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2"/>
      <c r="BA188" s="42"/>
      <c r="BB188" s="42"/>
      <c r="BC188" s="42"/>
      <c r="BD188" s="42"/>
      <c r="BE188" s="42"/>
      <c r="BF188" s="42"/>
      <c r="BG188" s="42"/>
      <c r="BH188" s="42"/>
    </row>
    <row r="189" spans="1:60" x14ac:dyDescent="0.3">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2"/>
      <c r="BA189" s="42"/>
      <c r="BB189" s="42"/>
      <c r="BC189" s="42"/>
      <c r="BD189" s="42"/>
      <c r="BE189" s="42"/>
      <c r="BF189" s="42"/>
      <c r="BG189" s="42"/>
      <c r="BH189" s="42"/>
    </row>
    <row r="190" spans="1:60" x14ac:dyDescent="0.3">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c r="BE190" s="42"/>
      <c r="BF190" s="42"/>
      <c r="BG190" s="42"/>
      <c r="BH190" s="42"/>
    </row>
    <row r="191" spans="1:60" x14ac:dyDescent="0.3">
      <c r="A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2"/>
      <c r="BA191" s="42"/>
      <c r="BB191" s="42"/>
      <c r="BC191" s="42"/>
      <c r="BD191" s="42"/>
      <c r="BE191" s="42"/>
      <c r="BF191" s="42"/>
      <c r="BG191" s="42"/>
      <c r="BH191" s="42"/>
    </row>
    <row r="192" spans="1:60" x14ac:dyDescent="0.3">
      <c r="A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2"/>
      <c r="BA192" s="42"/>
      <c r="BB192" s="42"/>
      <c r="BC192" s="42"/>
      <c r="BD192" s="42"/>
      <c r="BE192" s="42"/>
      <c r="BF192" s="42"/>
      <c r="BG192" s="42"/>
      <c r="BH192" s="42"/>
    </row>
    <row r="193" spans="1:60" x14ac:dyDescent="0.3">
      <c r="A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c r="BE193" s="42"/>
      <c r="BF193" s="42"/>
      <c r="BG193" s="42"/>
      <c r="BH193" s="42"/>
    </row>
    <row r="194" spans="1:60" x14ac:dyDescent="0.3">
      <c r="A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2"/>
      <c r="BA194" s="42"/>
      <c r="BB194" s="42"/>
      <c r="BC194" s="42"/>
      <c r="BD194" s="42"/>
      <c r="BE194" s="42"/>
      <c r="BF194" s="42"/>
      <c r="BG194" s="42"/>
      <c r="BH194" s="42"/>
    </row>
    <row r="195" spans="1:60" x14ac:dyDescent="0.3">
      <c r="A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2"/>
      <c r="BA195" s="42"/>
      <c r="BB195" s="42"/>
      <c r="BC195" s="42"/>
      <c r="BD195" s="42"/>
      <c r="BE195" s="42"/>
      <c r="BF195" s="42"/>
      <c r="BG195" s="42"/>
      <c r="BH195" s="42"/>
    </row>
    <row r="196" spans="1:60" x14ac:dyDescent="0.3">
      <c r="A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2"/>
      <c r="BA196" s="42"/>
      <c r="BB196" s="42"/>
      <c r="BC196" s="42"/>
      <c r="BD196" s="42"/>
      <c r="BE196" s="42"/>
      <c r="BF196" s="42"/>
      <c r="BG196" s="42"/>
      <c r="BH196" s="42"/>
    </row>
    <row r="197" spans="1:60" x14ac:dyDescent="0.3">
      <c r="A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2"/>
      <c r="BA197" s="42"/>
      <c r="BB197" s="42"/>
      <c r="BC197" s="42"/>
      <c r="BD197" s="42"/>
      <c r="BE197" s="42"/>
      <c r="BF197" s="42"/>
      <c r="BG197" s="42"/>
      <c r="BH197" s="42"/>
    </row>
    <row r="198" spans="1:60" x14ac:dyDescent="0.3">
      <c r="A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2"/>
      <c r="BA198" s="42"/>
      <c r="BB198" s="42"/>
      <c r="BC198" s="42"/>
      <c r="BD198" s="42"/>
      <c r="BE198" s="42"/>
      <c r="BF198" s="42"/>
      <c r="BG198" s="42"/>
      <c r="BH198" s="42"/>
    </row>
    <row r="199" spans="1:60" x14ac:dyDescent="0.3">
      <c r="A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2"/>
      <c r="BA199" s="42"/>
      <c r="BB199" s="42"/>
      <c r="BC199" s="42"/>
      <c r="BD199" s="42"/>
      <c r="BE199" s="42"/>
      <c r="BF199" s="42"/>
      <c r="BG199" s="42"/>
      <c r="BH199" s="42"/>
    </row>
    <row r="200" spans="1:60" x14ac:dyDescent="0.3">
      <c r="A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2"/>
      <c r="BA200" s="42"/>
      <c r="BB200" s="42"/>
      <c r="BC200" s="42"/>
      <c r="BD200" s="42"/>
      <c r="BE200" s="42"/>
      <c r="BF200" s="42"/>
      <c r="BG200" s="42"/>
      <c r="BH200" s="42"/>
    </row>
    <row r="201" spans="1:60" x14ac:dyDescent="0.3">
      <c r="A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2"/>
      <c r="BA201" s="42"/>
      <c r="BB201" s="42"/>
      <c r="BC201" s="42"/>
      <c r="BD201" s="42"/>
      <c r="BE201" s="42"/>
      <c r="BF201" s="42"/>
      <c r="BG201" s="42"/>
      <c r="BH201" s="42"/>
    </row>
    <row r="202" spans="1:60" x14ac:dyDescent="0.3">
      <c r="A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2"/>
      <c r="BA202" s="42"/>
      <c r="BB202" s="42"/>
      <c r="BC202" s="42"/>
      <c r="BD202" s="42"/>
      <c r="BE202" s="42"/>
      <c r="BF202" s="42"/>
      <c r="BG202" s="42"/>
      <c r="BH202" s="42"/>
    </row>
    <row r="203" spans="1:60" x14ac:dyDescent="0.3">
      <c r="A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c r="AY203" s="42"/>
      <c r="AZ203" s="42"/>
      <c r="BA203" s="42"/>
      <c r="BB203" s="42"/>
      <c r="BC203" s="42"/>
      <c r="BD203" s="42"/>
      <c r="BE203" s="42"/>
      <c r="BF203" s="42"/>
      <c r="BG203" s="42"/>
      <c r="BH203" s="42"/>
    </row>
    <row r="204" spans="1:60" x14ac:dyDescent="0.3">
      <c r="A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2"/>
      <c r="BA204" s="42"/>
      <c r="BB204" s="42"/>
      <c r="BC204" s="42"/>
      <c r="BD204" s="42"/>
      <c r="BE204" s="42"/>
      <c r="BF204" s="42"/>
      <c r="BG204" s="42"/>
      <c r="BH204" s="42"/>
    </row>
    <row r="205" spans="1:60" x14ac:dyDescent="0.3">
      <c r="A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2"/>
      <c r="BA205" s="42"/>
      <c r="BB205" s="42"/>
      <c r="BC205" s="42"/>
      <c r="BD205" s="42"/>
      <c r="BE205" s="42"/>
      <c r="BF205" s="42"/>
      <c r="BG205" s="42"/>
      <c r="BH205" s="42"/>
    </row>
    <row r="206" spans="1:60" x14ac:dyDescent="0.3">
      <c r="A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2"/>
      <c r="BA206" s="42"/>
      <c r="BB206" s="42"/>
      <c r="BC206" s="42"/>
      <c r="BD206" s="42"/>
      <c r="BE206" s="42"/>
      <c r="BF206" s="42"/>
      <c r="BG206" s="42"/>
      <c r="BH206" s="42"/>
    </row>
    <row r="207" spans="1:60" x14ac:dyDescent="0.3">
      <c r="A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2"/>
      <c r="BA207" s="42"/>
      <c r="BB207" s="42"/>
      <c r="BC207" s="42"/>
      <c r="BD207" s="42"/>
      <c r="BE207" s="42"/>
      <c r="BF207" s="42"/>
      <c r="BG207" s="42"/>
      <c r="BH207" s="42"/>
    </row>
    <row r="208" spans="1:60" x14ac:dyDescent="0.3">
      <c r="A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2"/>
      <c r="BA208" s="42"/>
      <c r="BB208" s="42"/>
      <c r="BC208" s="42"/>
      <c r="BD208" s="42"/>
      <c r="BE208" s="42"/>
      <c r="BF208" s="42"/>
      <c r="BG208" s="42"/>
      <c r="BH208" s="42"/>
    </row>
    <row r="209" spans="1:60" x14ac:dyDescent="0.3">
      <c r="A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42"/>
      <c r="BA209" s="42"/>
      <c r="BB209" s="42"/>
      <c r="BC209" s="42"/>
      <c r="BD209" s="42"/>
      <c r="BE209" s="42"/>
      <c r="BF209" s="42"/>
      <c r="BG209" s="42"/>
      <c r="BH209" s="42"/>
    </row>
    <row r="210" spans="1:60" x14ac:dyDescent="0.3">
      <c r="A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c r="AP210" s="42"/>
      <c r="AQ210" s="42"/>
      <c r="AR210" s="42"/>
      <c r="AS210" s="42"/>
      <c r="AT210" s="42"/>
      <c r="AU210" s="42"/>
      <c r="AV210" s="42"/>
      <c r="AW210" s="42"/>
      <c r="AX210" s="42"/>
      <c r="AY210" s="42"/>
      <c r="AZ210" s="42"/>
      <c r="BA210" s="42"/>
      <c r="BB210" s="42"/>
      <c r="BC210" s="42"/>
      <c r="BD210" s="42"/>
      <c r="BE210" s="42"/>
      <c r="BF210" s="42"/>
      <c r="BG210" s="42"/>
      <c r="BH210" s="42"/>
    </row>
    <row r="211" spans="1:60" x14ac:dyDescent="0.3">
      <c r="A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2"/>
      <c r="AO211" s="42"/>
      <c r="AP211" s="42"/>
      <c r="AQ211" s="42"/>
      <c r="AR211" s="42"/>
      <c r="AS211" s="42"/>
      <c r="AT211" s="42"/>
      <c r="AU211" s="42"/>
      <c r="AV211" s="42"/>
      <c r="AW211" s="42"/>
      <c r="AX211" s="42"/>
      <c r="AY211" s="42"/>
      <c r="AZ211" s="42"/>
      <c r="BA211" s="42"/>
      <c r="BB211" s="42"/>
      <c r="BC211" s="42"/>
      <c r="BD211" s="42"/>
      <c r="BE211" s="42"/>
      <c r="BF211" s="42"/>
      <c r="BG211" s="42"/>
      <c r="BH211" s="42"/>
    </row>
    <row r="212" spans="1:60" x14ac:dyDescent="0.3">
      <c r="A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c r="AO212" s="42"/>
      <c r="AP212" s="42"/>
      <c r="AQ212" s="42"/>
      <c r="AR212" s="42"/>
      <c r="AS212" s="42"/>
      <c r="AT212" s="42"/>
      <c r="AU212" s="42"/>
      <c r="AV212" s="42"/>
      <c r="AW212" s="42"/>
      <c r="AX212" s="42"/>
      <c r="AY212" s="42"/>
      <c r="AZ212" s="42"/>
      <c r="BA212" s="42"/>
      <c r="BB212" s="42"/>
      <c r="BC212" s="42"/>
      <c r="BD212" s="42"/>
      <c r="BE212" s="42"/>
      <c r="BF212" s="42"/>
      <c r="BG212" s="42"/>
      <c r="BH212" s="42"/>
    </row>
    <row r="213" spans="1:60" x14ac:dyDescent="0.3">
      <c r="A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c r="AP213" s="42"/>
      <c r="AQ213" s="42"/>
      <c r="AR213" s="42"/>
      <c r="AS213" s="42"/>
      <c r="AT213" s="42"/>
      <c r="AU213" s="42"/>
      <c r="AV213" s="42"/>
      <c r="AW213" s="42"/>
      <c r="AX213" s="42"/>
      <c r="AY213" s="42"/>
      <c r="AZ213" s="42"/>
      <c r="BA213" s="42"/>
      <c r="BB213" s="42"/>
      <c r="BC213" s="42"/>
      <c r="BD213" s="42"/>
      <c r="BE213" s="42"/>
      <c r="BF213" s="42"/>
      <c r="BG213" s="42"/>
      <c r="BH213" s="42"/>
    </row>
    <row r="214" spans="1:60" x14ac:dyDescent="0.3">
      <c r="A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c r="AT214" s="42"/>
      <c r="AU214" s="42"/>
      <c r="AV214" s="42"/>
      <c r="AW214" s="42"/>
      <c r="AX214" s="42"/>
      <c r="AY214" s="42"/>
      <c r="AZ214" s="42"/>
      <c r="BA214" s="42"/>
      <c r="BB214" s="42"/>
      <c r="BC214" s="42"/>
      <c r="BD214" s="42"/>
      <c r="BE214" s="42"/>
      <c r="BF214" s="42"/>
      <c r="BG214" s="42"/>
      <c r="BH214" s="42"/>
    </row>
    <row r="215" spans="1:60" x14ac:dyDescent="0.3">
      <c r="A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c r="AT215" s="42"/>
      <c r="AU215" s="42"/>
      <c r="AV215" s="42"/>
      <c r="AW215" s="42"/>
      <c r="AX215" s="42"/>
      <c r="AY215" s="42"/>
      <c r="AZ215" s="42"/>
      <c r="BA215" s="42"/>
      <c r="BB215" s="42"/>
      <c r="BC215" s="42"/>
      <c r="BD215" s="42"/>
      <c r="BE215" s="42"/>
      <c r="BF215" s="42"/>
      <c r="BG215" s="42"/>
      <c r="BH215" s="42"/>
    </row>
    <row r="216" spans="1:60" x14ac:dyDescent="0.3">
      <c r="A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c r="AO216" s="42"/>
      <c r="AP216" s="42"/>
      <c r="AQ216" s="42"/>
      <c r="AR216" s="42"/>
      <c r="AS216" s="42"/>
      <c r="AT216" s="42"/>
      <c r="AU216" s="42"/>
      <c r="AV216" s="42"/>
      <c r="AW216" s="42"/>
      <c r="AX216" s="42"/>
      <c r="AY216" s="42"/>
      <c r="AZ216" s="42"/>
      <c r="BA216" s="42"/>
      <c r="BB216" s="42"/>
      <c r="BC216" s="42"/>
      <c r="BD216" s="42"/>
      <c r="BE216" s="42"/>
      <c r="BF216" s="42"/>
      <c r="BG216" s="42"/>
      <c r="BH216" s="42"/>
    </row>
    <row r="217" spans="1:60" x14ac:dyDescent="0.3">
      <c r="A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row>
    <row r="218" spans="1:60" x14ac:dyDescent="0.3">
      <c r="A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42"/>
      <c r="AS218" s="42"/>
      <c r="AT218" s="42"/>
      <c r="AU218" s="42"/>
      <c r="AV218" s="42"/>
      <c r="AW218" s="42"/>
      <c r="AX218" s="42"/>
      <c r="AY218" s="42"/>
      <c r="AZ218" s="42"/>
      <c r="BA218" s="42"/>
      <c r="BB218" s="42"/>
      <c r="BC218" s="42"/>
      <c r="BD218" s="42"/>
      <c r="BE218" s="42"/>
      <c r="BF218" s="42"/>
      <c r="BG218" s="42"/>
      <c r="BH218" s="42"/>
    </row>
    <row r="219" spans="1:60" x14ac:dyDescent="0.3">
      <c r="A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c r="AO219" s="42"/>
      <c r="AP219" s="42"/>
      <c r="AQ219" s="42"/>
      <c r="AR219" s="42"/>
      <c r="AS219" s="42"/>
      <c r="AT219" s="42"/>
      <c r="AU219" s="42"/>
      <c r="AV219" s="42"/>
      <c r="AW219" s="42"/>
      <c r="AX219" s="42"/>
      <c r="AY219" s="42"/>
      <c r="AZ219" s="42"/>
      <c r="BA219" s="42"/>
      <c r="BB219" s="42"/>
      <c r="BC219" s="42"/>
      <c r="BD219" s="42"/>
      <c r="BE219" s="42"/>
      <c r="BF219" s="42"/>
      <c r="BG219" s="42"/>
      <c r="BH219" s="42"/>
    </row>
    <row r="220" spans="1:60" x14ac:dyDescent="0.3">
      <c r="A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c r="AO220" s="42"/>
      <c r="AP220" s="42"/>
      <c r="AQ220" s="42"/>
      <c r="AR220" s="42"/>
      <c r="AS220" s="42"/>
      <c r="AT220" s="42"/>
      <c r="AU220" s="42"/>
      <c r="AV220" s="42"/>
      <c r="AW220" s="42"/>
      <c r="AX220" s="42"/>
      <c r="AY220" s="42"/>
      <c r="AZ220" s="42"/>
      <c r="BA220" s="42"/>
      <c r="BB220" s="42"/>
      <c r="BC220" s="42"/>
      <c r="BD220" s="42"/>
      <c r="BE220" s="42"/>
      <c r="BF220" s="42"/>
      <c r="BG220" s="42"/>
      <c r="BH220" s="42"/>
    </row>
    <row r="221" spans="1:60" x14ac:dyDescent="0.3">
      <c r="A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c r="AO221" s="42"/>
      <c r="AP221" s="42"/>
      <c r="AQ221" s="42"/>
      <c r="AR221" s="42"/>
      <c r="AS221" s="42"/>
      <c r="AT221" s="42"/>
      <c r="AU221" s="42"/>
      <c r="AV221" s="42"/>
      <c r="AW221" s="42"/>
      <c r="AX221" s="42"/>
      <c r="AY221" s="42"/>
      <c r="AZ221" s="42"/>
      <c r="BA221" s="42"/>
      <c r="BB221" s="42"/>
      <c r="BC221" s="42"/>
      <c r="BD221" s="42"/>
      <c r="BE221" s="42"/>
      <c r="BF221" s="42"/>
      <c r="BG221" s="42"/>
      <c r="BH221" s="42"/>
    </row>
    <row r="222" spans="1:60" x14ac:dyDescent="0.3">
      <c r="A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2"/>
      <c r="BA222" s="42"/>
      <c r="BB222" s="42"/>
      <c r="BC222" s="42"/>
      <c r="BD222" s="42"/>
      <c r="BE222" s="42"/>
      <c r="BF222" s="42"/>
      <c r="BG222" s="42"/>
      <c r="BH222" s="42"/>
    </row>
    <row r="223" spans="1:60" x14ac:dyDescent="0.3">
      <c r="A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c r="AQ223" s="42"/>
      <c r="AR223" s="42"/>
      <c r="AS223" s="42"/>
      <c r="AT223" s="42"/>
      <c r="AU223" s="42"/>
      <c r="AV223" s="42"/>
      <c r="AW223" s="42"/>
      <c r="AX223" s="42"/>
      <c r="AY223" s="42"/>
      <c r="AZ223" s="42"/>
      <c r="BA223" s="42"/>
      <c r="BB223" s="42"/>
      <c r="BC223" s="42"/>
      <c r="BD223" s="42"/>
      <c r="BE223" s="42"/>
      <c r="BF223" s="42"/>
      <c r="BG223" s="42"/>
      <c r="BH223" s="42"/>
    </row>
    <row r="224" spans="1:60" x14ac:dyDescent="0.3">
      <c r="A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c r="BE224" s="42"/>
      <c r="BF224" s="42"/>
      <c r="BG224" s="42"/>
      <c r="BH224" s="42"/>
    </row>
    <row r="225" spans="1:60" x14ac:dyDescent="0.3">
      <c r="A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c r="AP225" s="42"/>
      <c r="AQ225" s="42"/>
      <c r="AR225" s="42"/>
      <c r="AS225" s="42"/>
      <c r="AT225" s="42"/>
      <c r="AU225" s="42"/>
      <c r="AV225" s="42"/>
      <c r="AW225" s="42"/>
      <c r="AX225" s="42"/>
      <c r="AY225" s="42"/>
      <c r="AZ225" s="42"/>
      <c r="BA225" s="42"/>
      <c r="BB225" s="42"/>
      <c r="BC225" s="42"/>
      <c r="BD225" s="42"/>
      <c r="BE225" s="42"/>
      <c r="BF225" s="42"/>
      <c r="BG225" s="42"/>
      <c r="BH225" s="42"/>
    </row>
    <row r="226" spans="1:60" x14ac:dyDescent="0.3">
      <c r="A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c r="AO226" s="42"/>
      <c r="AP226" s="42"/>
      <c r="AQ226" s="42"/>
      <c r="AR226" s="42"/>
      <c r="AS226" s="42"/>
      <c r="AT226" s="42"/>
      <c r="AU226" s="42"/>
      <c r="AV226" s="42"/>
      <c r="AW226" s="42"/>
      <c r="AX226" s="42"/>
      <c r="AY226" s="42"/>
      <c r="AZ226" s="42"/>
      <c r="BA226" s="42"/>
      <c r="BB226" s="42"/>
      <c r="BC226" s="42"/>
      <c r="BD226" s="42"/>
      <c r="BE226" s="42"/>
      <c r="BF226" s="42"/>
      <c r="BG226" s="42"/>
      <c r="BH226" s="42"/>
    </row>
    <row r="227" spans="1:60" x14ac:dyDescent="0.3">
      <c r="A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c r="AO227" s="42"/>
      <c r="AP227" s="42"/>
      <c r="AQ227" s="42"/>
      <c r="AR227" s="42"/>
      <c r="AS227" s="42"/>
      <c r="AT227" s="42"/>
      <c r="AU227" s="42"/>
      <c r="AV227" s="42"/>
      <c r="AW227" s="42"/>
      <c r="AX227" s="42"/>
      <c r="AY227" s="42"/>
      <c r="AZ227" s="42"/>
      <c r="BA227" s="42"/>
      <c r="BB227" s="42"/>
      <c r="BC227" s="42"/>
      <c r="BD227" s="42"/>
      <c r="BE227" s="42"/>
      <c r="BF227" s="42"/>
      <c r="BG227" s="42"/>
      <c r="BH227" s="42"/>
    </row>
    <row r="228" spans="1:60" x14ac:dyDescent="0.3">
      <c r="A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2"/>
      <c r="AT228" s="42"/>
      <c r="AU228" s="42"/>
      <c r="AV228" s="42"/>
      <c r="AW228" s="42"/>
      <c r="AX228" s="42"/>
      <c r="AY228" s="42"/>
      <c r="AZ228" s="42"/>
      <c r="BA228" s="42"/>
      <c r="BB228" s="42"/>
      <c r="BC228" s="42"/>
      <c r="BD228" s="42"/>
      <c r="BE228" s="42"/>
      <c r="BF228" s="42"/>
      <c r="BG228" s="42"/>
      <c r="BH228" s="42"/>
    </row>
    <row r="229" spans="1:60" x14ac:dyDescent="0.3">
      <c r="A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c r="AN229" s="42"/>
      <c r="AO229" s="42"/>
      <c r="AP229" s="42"/>
      <c r="AQ229" s="42"/>
      <c r="AR229" s="42"/>
      <c r="AS229" s="42"/>
      <c r="AT229" s="42"/>
      <c r="AU229" s="42"/>
      <c r="AV229" s="42"/>
      <c r="AW229" s="42"/>
      <c r="AX229" s="42"/>
      <c r="AY229" s="42"/>
      <c r="AZ229" s="42"/>
      <c r="BA229" s="42"/>
      <c r="BB229" s="42"/>
      <c r="BC229" s="42"/>
      <c r="BD229" s="42"/>
      <c r="BE229" s="42"/>
      <c r="BF229" s="42"/>
      <c r="BG229" s="42"/>
      <c r="BH229" s="42"/>
    </row>
    <row r="230" spans="1:60" x14ac:dyDescent="0.3">
      <c r="A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c r="BE230" s="42"/>
      <c r="BF230" s="42"/>
      <c r="BG230" s="42"/>
      <c r="BH230" s="42"/>
    </row>
    <row r="231" spans="1:60" x14ac:dyDescent="0.3">
      <c r="A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2"/>
      <c r="BA231" s="42"/>
      <c r="BB231" s="42"/>
      <c r="BC231" s="42"/>
      <c r="BD231" s="42"/>
      <c r="BE231" s="42"/>
      <c r="BF231" s="42"/>
      <c r="BG231" s="42"/>
      <c r="BH231" s="42"/>
    </row>
    <row r="232" spans="1:60" x14ac:dyDescent="0.3">
      <c r="A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c r="AR232" s="42"/>
      <c r="AS232" s="42"/>
      <c r="AT232" s="42"/>
      <c r="AU232" s="42"/>
      <c r="AV232" s="42"/>
      <c r="AW232" s="42"/>
      <c r="AX232" s="42"/>
      <c r="AY232" s="42"/>
      <c r="AZ232" s="42"/>
      <c r="BA232" s="42"/>
      <c r="BB232" s="42"/>
      <c r="BC232" s="42"/>
      <c r="BD232" s="42"/>
      <c r="BE232" s="42"/>
      <c r="BF232" s="42"/>
      <c r="BG232" s="42"/>
      <c r="BH232" s="42"/>
    </row>
    <row r="233" spans="1:60" x14ac:dyDescent="0.3">
      <c r="A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c r="AR233" s="42"/>
      <c r="AS233" s="42"/>
      <c r="AT233" s="42"/>
      <c r="AU233" s="42"/>
      <c r="AV233" s="42"/>
      <c r="AW233" s="42"/>
      <c r="AX233" s="42"/>
      <c r="AY233" s="42"/>
      <c r="AZ233" s="42"/>
      <c r="BA233" s="42"/>
      <c r="BB233" s="42"/>
      <c r="BC233" s="42"/>
      <c r="BD233" s="42"/>
      <c r="BE233" s="42"/>
      <c r="BF233" s="42"/>
      <c r="BG233" s="42"/>
      <c r="BH233" s="42"/>
    </row>
    <row r="234" spans="1:60" x14ac:dyDescent="0.3">
      <c r="A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2"/>
      <c r="AT234" s="42"/>
      <c r="AU234" s="42"/>
      <c r="AV234" s="42"/>
      <c r="AW234" s="42"/>
      <c r="AX234" s="42"/>
      <c r="AY234" s="42"/>
      <c r="AZ234" s="42"/>
      <c r="BA234" s="42"/>
      <c r="BB234" s="42"/>
      <c r="BC234" s="42"/>
      <c r="BD234" s="42"/>
      <c r="BE234" s="42"/>
      <c r="BF234" s="42"/>
      <c r="BG234" s="42"/>
      <c r="BH234" s="42"/>
    </row>
    <row r="235" spans="1:60" x14ac:dyDescent="0.3">
      <c r="A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2"/>
      <c r="BA235" s="42"/>
      <c r="BB235" s="42"/>
      <c r="BC235" s="42"/>
      <c r="BD235" s="42"/>
      <c r="BE235" s="42"/>
      <c r="BF235" s="42"/>
      <c r="BG235" s="42"/>
      <c r="BH235" s="42"/>
    </row>
    <row r="236" spans="1:60" x14ac:dyDescent="0.3">
      <c r="A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42"/>
      <c r="BB236" s="42"/>
      <c r="BC236" s="42"/>
      <c r="BD236" s="42"/>
      <c r="BE236" s="42"/>
      <c r="BF236" s="42"/>
      <c r="BG236" s="42"/>
      <c r="BH236" s="42"/>
    </row>
    <row r="237" spans="1:60" x14ac:dyDescent="0.3">
      <c r="A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c r="BE237" s="42"/>
      <c r="BF237" s="42"/>
      <c r="BG237" s="42"/>
      <c r="BH237" s="42"/>
    </row>
    <row r="238" spans="1:60" x14ac:dyDescent="0.3">
      <c r="A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row>
    <row r="239" spans="1:60" x14ac:dyDescent="0.3">
      <c r="A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row>
    <row r="240" spans="1:60" x14ac:dyDescent="0.3">
      <c r="A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c r="AO240" s="42"/>
      <c r="AP240" s="42"/>
      <c r="AQ240" s="42"/>
      <c r="AR240" s="42"/>
      <c r="AS240" s="42"/>
      <c r="AT240" s="42"/>
      <c r="AU240" s="42"/>
      <c r="AV240" s="42"/>
      <c r="AW240" s="42"/>
      <c r="AX240" s="42"/>
      <c r="AY240" s="42"/>
      <c r="AZ240" s="42"/>
      <c r="BA240" s="42"/>
      <c r="BB240" s="42"/>
      <c r="BC240" s="42"/>
      <c r="BD240" s="42"/>
      <c r="BE240" s="42"/>
      <c r="BF240" s="42"/>
      <c r="BG240" s="42"/>
      <c r="BH240" s="42"/>
    </row>
    <row r="241" spans="1:60" x14ac:dyDescent="0.3">
      <c r="A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row>
    <row r="242" spans="1:60" x14ac:dyDescent="0.3">
      <c r="A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row>
    <row r="243" spans="1:60" x14ac:dyDescent="0.3">
      <c r="A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2"/>
      <c r="BA243" s="42"/>
      <c r="BB243" s="42"/>
      <c r="BC243" s="42"/>
      <c r="BD243" s="42"/>
      <c r="BE243" s="42"/>
      <c r="BF243" s="42"/>
      <c r="BG243" s="42"/>
      <c r="BH243" s="42"/>
    </row>
    <row r="244" spans="1:60" x14ac:dyDescent="0.3">
      <c r="A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c r="AO244" s="42"/>
      <c r="AP244" s="42"/>
      <c r="AQ244" s="42"/>
      <c r="AR244" s="42"/>
      <c r="AS244" s="42"/>
      <c r="AT244" s="42"/>
      <c r="AU244" s="42"/>
      <c r="AV244" s="42"/>
      <c r="AW244" s="42"/>
      <c r="AX244" s="42"/>
      <c r="AY244" s="42"/>
      <c r="AZ244" s="42"/>
      <c r="BA244" s="42"/>
      <c r="BB244" s="42"/>
      <c r="BC244" s="42"/>
      <c r="BD244" s="42"/>
      <c r="BE244" s="42"/>
      <c r="BF244" s="42"/>
      <c r="BG244" s="42"/>
      <c r="BH244" s="42"/>
    </row>
    <row r="245" spans="1:60" x14ac:dyDescent="0.3">
      <c r="A245" s="42"/>
    </row>
    <row r="246" spans="1:60" x14ac:dyDescent="0.3">
      <c r="A246" s="42"/>
    </row>
    <row r="247" spans="1:60" x14ac:dyDescent="0.3">
      <c r="A247" s="42"/>
    </row>
    <row r="248" spans="1:60" x14ac:dyDescent="0.3">
      <c r="A248" s="42"/>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70" zoomScaleNormal="70" workbookViewId="0">
      <selection activeCell="C4" sqref="C4"/>
    </sheetView>
  </sheetViews>
  <sheetFormatPr baseColWidth="10" defaultColWidth="11.44140625" defaultRowHeight="14.4" x14ac:dyDescent="0.3"/>
  <cols>
    <col min="2" max="2" width="24.109375" customWidth="1"/>
    <col min="3" max="3" width="70.109375" customWidth="1"/>
    <col min="4" max="4" width="29.88671875" customWidth="1"/>
  </cols>
  <sheetData>
    <row r="1" spans="1:37" ht="23.4" x14ac:dyDescent="0.3">
      <c r="A1" s="42"/>
      <c r="B1" s="385" t="s">
        <v>219</v>
      </c>
      <c r="C1" s="385"/>
      <c r="D1" s="385"/>
      <c r="E1" s="42"/>
      <c r="F1" s="42"/>
      <c r="G1" s="42"/>
      <c r="H1" s="42"/>
      <c r="I1" s="42"/>
      <c r="J1" s="42"/>
      <c r="K1" s="42"/>
      <c r="L1" s="42"/>
      <c r="M1" s="42"/>
      <c r="N1" s="42"/>
      <c r="O1" s="42"/>
      <c r="P1" s="42"/>
      <c r="Q1" s="42"/>
      <c r="R1" s="42"/>
      <c r="S1" s="42"/>
      <c r="T1" s="42"/>
      <c r="U1" s="42"/>
      <c r="V1" s="42"/>
      <c r="W1" s="42"/>
      <c r="X1" s="42"/>
      <c r="Y1" s="42"/>
      <c r="Z1" s="42"/>
      <c r="AA1" s="42"/>
      <c r="AB1" s="42"/>
      <c r="AC1" s="42"/>
      <c r="AD1" s="42"/>
      <c r="AE1" s="42"/>
    </row>
    <row r="2" spans="1:37" x14ac:dyDescent="0.3">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row>
    <row r="3" spans="1:37" ht="25.2" x14ac:dyDescent="0.3">
      <c r="A3" s="42"/>
      <c r="B3" s="3"/>
      <c r="C3" s="115" t="s">
        <v>220</v>
      </c>
      <c r="D3" s="115" t="s">
        <v>203</v>
      </c>
      <c r="E3" s="42"/>
      <c r="F3" s="42"/>
      <c r="G3" s="42"/>
      <c r="H3" s="42"/>
      <c r="I3" s="42"/>
      <c r="J3" s="42"/>
      <c r="K3" s="42"/>
      <c r="L3" s="42"/>
      <c r="M3" s="42"/>
      <c r="N3" s="42"/>
      <c r="O3" s="42"/>
      <c r="P3" s="42"/>
      <c r="Q3" s="42"/>
      <c r="R3" s="42"/>
      <c r="S3" s="42"/>
      <c r="T3" s="42"/>
      <c r="U3" s="42"/>
      <c r="V3" s="42"/>
      <c r="W3" s="42"/>
      <c r="X3" s="42"/>
      <c r="Y3" s="42"/>
      <c r="Z3" s="42"/>
      <c r="AA3" s="42"/>
      <c r="AB3" s="42"/>
      <c r="AC3" s="42"/>
      <c r="AD3" s="42"/>
      <c r="AE3" s="42"/>
    </row>
    <row r="4" spans="1:37" ht="50.4" x14ac:dyDescent="0.3">
      <c r="A4" s="42"/>
      <c r="B4" s="108" t="s">
        <v>221</v>
      </c>
      <c r="C4" s="109" t="s">
        <v>222</v>
      </c>
      <c r="D4" s="110">
        <v>0.2</v>
      </c>
      <c r="E4" s="42"/>
      <c r="F4" s="42"/>
      <c r="G4" s="42"/>
      <c r="H4" s="42"/>
      <c r="I4" s="42"/>
      <c r="J4" s="42"/>
      <c r="K4" s="42"/>
      <c r="L4" s="42"/>
      <c r="M4" s="42"/>
      <c r="N4" s="42"/>
      <c r="O4" s="42"/>
      <c r="P4" s="42"/>
      <c r="Q4" s="42"/>
      <c r="R4" s="42"/>
      <c r="S4" s="42"/>
      <c r="T4" s="42"/>
      <c r="U4" s="42"/>
      <c r="V4" s="42"/>
      <c r="W4" s="42"/>
      <c r="X4" s="42"/>
      <c r="Y4" s="42"/>
      <c r="Z4" s="42"/>
      <c r="AA4" s="42"/>
      <c r="AB4" s="42"/>
      <c r="AC4" s="42"/>
      <c r="AD4" s="42"/>
      <c r="AE4" s="42"/>
    </row>
    <row r="5" spans="1:37" ht="50.4" x14ac:dyDescent="0.3">
      <c r="A5" s="42"/>
      <c r="B5" s="111" t="s">
        <v>223</v>
      </c>
      <c r="C5" s="109" t="s">
        <v>224</v>
      </c>
      <c r="D5" s="110">
        <v>0.4</v>
      </c>
      <c r="E5" s="42"/>
      <c r="F5" s="42"/>
      <c r="G5" s="42"/>
      <c r="H5" s="42"/>
      <c r="I5" s="42"/>
      <c r="J5" s="42"/>
      <c r="K5" s="42"/>
      <c r="L5" s="42"/>
      <c r="M5" s="42"/>
      <c r="N5" s="42"/>
      <c r="O5" s="42"/>
      <c r="P5" s="42"/>
      <c r="Q5" s="42"/>
      <c r="R5" s="42"/>
      <c r="S5" s="42"/>
      <c r="T5" s="42"/>
      <c r="U5" s="42"/>
      <c r="V5" s="42"/>
      <c r="W5" s="42"/>
      <c r="X5" s="42"/>
      <c r="Y5" s="42"/>
      <c r="Z5" s="42"/>
      <c r="AA5" s="42"/>
      <c r="AB5" s="42"/>
      <c r="AC5" s="42"/>
      <c r="AD5" s="42"/>
      <c r="AE5" s="42"/>
    </row>
    <row r="6" spans="1:37" ht="50.4" x14ac:dyDescent="0.3">
      <c r="A6" s="42"/>
      <c r="B6" s="112" t="s">
        <v>225</v>
      </c>
      <c r="C6" s="109" t="s">
        <v>226</v>
      </c>
      <c r="D6" s="110">
        <v>0.6</v>
      </c>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1:37" ht="75.599999999999994" x14ac:dyDescent="0.3">
      <c r="A7" s="42"/>
      <c r="B7" s="113" t="s">
        <v>227</v>
      </c>
      <c r="C7" s="109" t="s">
        <v>228</v>
      </c>
      <c r="D7" s="110">
        <v>0.8</v>
      </c>
      <c r="E7" s="42"/>
      <c r="F7" s="42"/>
      <c r="G7" s="42"/>
      <c r="H7" s="42"/>
      <c r="I7" s="42"/>
      <c r="J7" s="42"/>
      <c r="K7" s="42"/>
      <c r="L7" s="42"/>
      <c r="M7" s="42"/>
      <c r="N7" s="42"/>
      <c r="O7" s="42"/>
      <c r="P7" s="42"/>
      <c r="Q7" s="42"/>
      <c r="R7" s="42"/>
      <c r="S7" s="42"/>
      <c r="T7" s="42"/>
      <c r="U7" s="42"/>
      <c r="V7" s="42"/>
      <c r="W7" s="42"/>
      <c r="X7" s="42"/>
      <c r="Y7" s="42"/>
      <c r="Z7" s="42"/>
      <c r="AA7" s="42"/>
      <c r="AB7" s="42"/>
      <c r="AC7" s="42"/>
      <c r="AD7" s="42"/>
      <c r="AE7" s="42"/>
    </row>
    <row r="8" spans="1:37" ht="50.4" x14ac:dyDescent="0.3">
      <c r="A8" s="42"/>
      <c r="B8" s="114" t="s">
        <v>229</v>
      </c>
      <c r="C8" s="109" t="s">
        <v>230</v>
      </c>
      <c r="D8" s="110">
        <v>1</v>
      </c>
      <c r="E8" s="42"/>
      <c r="F8" s="42"/>
      <c r="G8" s="42"/>
      <c r="H8" s="42"/>
      <c r="I8" s="42"/>
      <c r="J8" s="42"/>
      <c r="K8" s="42"/>
      <c r="L8" s="42"/>
      <c r="M8" s="42"/>
      <c r="N8" s="42"/>
      <c r="O8" s="42"/>
      <c r="P8" s="42"/>
      <c r="Q8" s="42"/>
      <c r="R8" s="42"/>
      <c r="S8" s="42"/>
      <c r="T8" s="42"/>
      <c r="U8" s="42"/>
      <c r="V8" s="42"/>
      <c r="W8" s="42"/>
      <c r="X8" s="42"/>
      <c r="Y8" s="42"/>
      <c r="Z8" s="42"/>
      <c r="AA8" s="42"/>
      <c r="AB8" s="42"/>
      <c r="AC8" s="42"/>
      <c r="AD8" s="42"/>
      <c r="AE8" s="42"/>
    </row>
    <row r="9" spans="1:37" x14ac:dyDescent="0.3">
      <c r="A9" s="42"/>
      <c r="B9" s="45"/>
      <c r="C9" s="45"/>
      <c r="D9" s="45"/>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row>
    <row r="10" spans="1:37" x14ac:dyDescent="0.3">
      <c r="A10" s="42"/>
      <c r="B10" s="46"/>
      <c r="C10" s="45"/>
      <c r="D10" s="45"/>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row>
    <row r="11" spans="1:37" x14ac:dyDescent="0.3">
      <c r="A11" s="42"/>
      <c r="B11" s="45"/>
      <c r="C11" s="45"/>
      <c r="D11" s="45"/>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row>
    <row r="12" spans="1:37" x14ac:dyDescent="0.3">
      <c r="A12" s="42"/>
      <c r="B12" s="45"/>
      <c r="C12" s="45"/>
      <c r="D12" s="45"/>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row>
    <row r="13" spans="1:37" x14ac:dyDescent="0.3">
      <c r="A13" s="42"/>
      <c r="B13" s="45"/>
      <c r="C13" s="45"/>
      <c r="D13" s="45"/>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row>
    <row r="14" spans="1:37" x14ac:dyDescent="0.3">
      <c r="A14" s="42"/>
      <c r="B14" s="45"/>
      <c r="C14" s="45"/>
      <c r="D14" s="45"/>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row>
    <row r="15" spans="1:37" x14ac:dyDescent="0.3">
      <c r="A15" s="42"/>
      <c r="B15" s="45"/>
      <c r="C15" s="45"/>
      <c r="D15" s="45"/>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row>
    <row r="16" spans="1:37" x14ac:dyDescent="0.3">
      <c r="A16" s="42"/>
      <c r="B16" s="45"/>
      <c r="C16" s="45"/>
      <c r="D16" s="45"/>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row>
    <row r="17" spans="1:37" x14ac:dyDescent="0.3">
      <c r="A17" s="42"/>
      <c r="B17" s="45"/>
      <c r="C17" s="45"/>
      <c r="D17" s="45"/>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row>
    <row r="18" spans="1:37" x14ac:dyDescent="0.3">
      <c r="A18" s="42"/>
      <c r="B18" s="45"/>
      <c r="C18" s="45"/>
      <c r="D18" s="45"/>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row>
    <row r="19" spans="1:37" x14ac:dyDescent="0.3">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row>
    <row r="20" spans="1:37" x14ac:dyDescent="0.3">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row>
    <row r="21" spans="1:37" x14ac:dyDescent="0.3">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row>
    <row r="22" spans="1:37" x14ac:dyDescent="0.3">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row>
    <row r="23" spans="1:37" x14ac:dyDescent="0.3">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row>
    <row r="24" spans="1:37" x14ac:dyDescent="0.3">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row>
    <row r="25" spans="1:37" x14ac:dyDescent="0.3">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row>
    <row r="26" spans="1:37" x14ac:dyDescent="0.3">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row>
    <row r="27" spans="1:37" x14ac:dyDescent="0.3">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row>
    <row r="28" spans="1:37" x14ac:dyDescent="0.3">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row>
    <row r="29" spans="1:37" x14ac:dyDescent="0.3">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row>
    <row r="30" spans="1:37" x14ac:dyDescent="0.3">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row>
    <row r="31" spans="1:37" x14ac:dyDescent="0.3">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row>
    <row r="32" spans="1:37" x14ac:dyDescent="0.3">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row>
    <row r="33" spans="1:31" x14ac:dyDescent="0.3">
      <c r="A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x14ac:dyDescent="0.3">
      <c r="A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row>
    <row r="35" spans="1:31" x14ac:dyDescent="0.3">
      <c r="A35" s="42"/>
    </row>
    <row r="36" spans="1:31" x14ac:dyDescent="0.3">
      <c r="A36" s="42"/>
    </row>
    <row r="37" spans="1:31" x14ac:dyDescent="0.3">
      <c r="A37" s="42"/>
    </row>
    <row r="38" spans="1:31" x14ac:dyDescent="0.3">
      <c r="A38" s="42"/>
    </row>
    <row r="39" spans="1:31" x14ac:dyDescent="0.3">
      <c r="A39" s="42"/>
    </row>
    <row r="40" spans="1:31" x14ac:dyDescent="0.3">
      <c r="A40" s="42"/>
    </row>
    <row r="41" spans="1:31" x14ac:dyDescent="0.3">
      <c r="A41" s="42"/>
    </row>
    <row r="42" spans="1:31" x14ac:dyDescent="0.3">
      <c r="A42" s="42"/>
    </row>
    <row r="43" spans="1:31" x14ac:dyDescent="0.3">
      <c r="A43" s="42"/>
    </row>
    <row r="44" spans="1:31" x14ac:dyDescent="0.3">
      <c r="A44" s="42"/>
    </row>
    <row r="45" spans="1:31" x14ac:dyDescent="0.3">
      <c r="A45" s="42"/>
    </row>
    <row r="46" spans="1:31" x14ac:dyDescent="0.3">
      <c r="A46" s="42"/>
    </row>
    <row r="47" spans="1:31" x14ac:dyDescent="0.3">
      <c r="A47" s="42"/>
    </row>
    <row r="48" spans="1:31" x14ac:dyDescent="0.3">
      <c r="A48" s="42"/>
    </row>
    <row r="49" spans="1:1" x14ac:dyDescent="0.3">
      <c r="A49" s="42"/>
    </row>
    <row r="50" spans="1:1" x14ac:dyDescent="0.3">
      <c r="A50" s="42"/>
    </row>
    <row r="51" spans="1:1" x14ac:dyDescent="0.3">
      <c r="A51" s="42"/>
    </row>
    <row r="52" spans="1:1" x14ac:dyDescent="0.3">
      <c r="A52" s="42"/>
    </row>
    <row r="53" spans="1:1" x14ac:dyDescent="0.3">
      <c r="A53" s="42"/>
    </row>
    <row r="54" spans="1:1" x14ac:dyDescent="0.3">
      <c r="A54" s="42"/>
    </row>
    <row r="55" spans="1:1" x14ac:dyDescent="0.3">
      <c r="A55" s="42"/>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50" zoomScaleNormal="50" workbookViewId="0">
      <selection activeCell="C3" sqref="C3:D3"/>
    </sheetView>
  </sheetViews>
  <sheetFormatPr baseColWidth="10" defaultColWidth="11.44140625" defaultRowHeight="13.8" x14ac:dyDescent="0.25"/>
  <cols>
    <col min="1" max="1" width="11.44140625" style="47"/>
    <col min="2" max="2" width="40.44140625" style="47" customWidth="1"/>
    <col min="3" max="3" width="74.88671875" style="47" customWidth="1"/>
    <col min="4" max="4" width="138.88671875" style="47" customWidth="1"/>
    <col min="5" max="5" width="144.6640625" style="47" bestFit="1" customWidth="1"/>
    <col min="6" max="16384" width="11.44140625" style="47"/>
  </cols>
  <sheetData>
    <row r="1" spans="1:21" ht="33" x14ac:dyDescent="0.25">
      <c r="A1" s="50"/>
      <c r="B1" s="386" t="s">
        <v>231</v>
      </c>
      <c r="C1" s="386"/>
      <c r="D1" s="386"/>
      <c r="E1" s="50"/>
      <c r="F1" s="50"/>
      <c r="G1" s="50"/>
      <c r="H1" s="50"/>
      <c r="I1" s="50"/>
      <c r="J1" s="50"/>
      <c r="K1" s="50"/>
      <c r="L1" s="50"/>
      <c r="M1" s="50"/>
      <c r="N1" s="50"/>
      <c r="O1" s="50"/>
      <c r="P1" s="50"/>
      <c r="Q1" s="50"/>
      <c r="R1" s="50"/>
      <c r="S1" s="50"/>
      <c r="T1" s="50"/>
      <c r="U1" s="50"/>
    </row>
    <row r="2" spans="1:21" x14ac:dyDescent="0.25">
      <c r="A2" s="50"/>
      <c r="B2" s="50"/>
      <c r="C2" s="50"/>
      <c r="D2" s="50"/>
      <c r="E2" s="50"/>
      <c r="F2" s="50"/>
      <c r="G2" s="50"/>
      <c r="H2" s="50"/>
      <c r="I2" s="50"/>
      <c r="J2" s="50"/>
      <c r="K2" s="50"/>
      <c r="L2" s="50"/>
      <c r="M2" s="50"/>
      <c r="N2" s="50"/>
      <c r="O2" s="50"/>
      <c r="P2" s="50"/>
      <c r="Q2" s="50"/>
      <c r="R2" s="50"/>
      <c r="S2" s="50"/>
      <c r="T2" s="50"/>
      <c r="U2" s="50"/>
    </row>
    <row r="3" spans="1:21" ht="60" x14ac:dyDescent="0.25">
      <c r="A3" s="50"/>
      <c r="B3" s="44"/>
      <c r="C3" s="100" t="s">
        <v>232</v>
      </c>
      <c r="D3" s="100" t="s">
        <v>233</v>
      </c>
      <c r="E3" s="50"/>
      <c r="F3" s="50"/>
      <c r="G3" s="50"/>
      <c r="H3" s="50"/>
      <c r="I3" s="50"/>
      <c r="J3" s="50"/>
      <c r="K3" s="50"/>
      <c r="L3" s="50"/>
      <c r="M3" s="50"/>
      <c r="N3" s="50"/>
      <c r="O3" s="50"/>
      <c r="P3" s="50"/>
      <c r="Q3" s="50"/>
      <c r="R3" s="50"/>
      <c r="S3" s="50"/>
      <c r="T3" s="50"/>
      <c r="U3" s="50"/>
    </row>
    <row r="4" spans="1:21" ht="32.4" x14ac:dyDescent="0.25">
      <c r="A4" s="90" t="s">
        <v>234</v>
      </c>
      <c r="B4" s="103" t="s">
        <v>235</v>
      </c>
      <c r="C4" s="101" t="s">
        <v>236</v>
      </c>
      <c r="D4" s="102" t="s">
        <v>237</v>
      </c>
      <c r="E4" s="50"/>
      <c r="F4" s="50"/>
      <c r="G4" s="50"/>
      <c r="H4" s="50"/>
      <c r="I4" s="50"/>
      <c r="J4" s="50"/>
      <c r="K4" s="50"/>
      <c r="L4" s="50"/>
      <c r="M4" s="50"/>
      <c r="N4" s="50"/>
      <c r="O4" s="50"/>
      <c r="P4" s="50"/>
      <c r="Q4" s="50"/>
      <c r="R4" s="50"/>
      <c r="S4" s="50"/>
      <c r="T4" s="50"/>
      <c r="U4" s="50"/>
    </row>
    <row r="5" spans="1:21" ht="97.2" x14ac:dyDescent="0.25">
      <c r="A5" s="90" t="s">
        <v>238</v>
      </c>
      <c r="B5" s="104" t="s">
        <v>239</v>
      </c>
      <c r="C5" s="101" t="s">
        <v>240</v>
      </c>
      <c r="D5" s="102" t="s">
        <v>241</v>
      </c>
      <c r="E5" s="50"/>
      <c r="F5" s="50"/>
      <c r="G5" s="50"/>
      <c r="H5" s="50"/>
      <c r="I5" s="50"/>
      <c r="J5" s="50"/>
      <c r="K5" s="50"/>
      <c r="L5" s="50"/>
      <c r="M5" s="50"/>
      <c r="N5" s="50"/>
      <c r="O5" s="50"/>
      <c r="P5" s="50"/>
      <c r="Q5" s="50"/>
      <c r="R5" s="50"/>
      <c r="S5" s="50"/>
      <c r="T5" s="50"/>
      <c r="U5" s="50"/>
    </row>
    <row r="6" spans="1:21" ht="64.8" x14ac:dyDescent="0.25">
      <c r="A6" s="90" t="s">
        <v>209</v>
      </c>
      <c r="B6" s="105" t="s">
        <v>242</v>
      </c>
      <c r="C6" s="101" t="s">
        <v>243</v>
      </c>
      <c r="D6" s="102" t="s">
        <v>244</v>
      </c>
      <c r="E6" s="50"/>
      <c r="F6" s="50"/>
      <c r="G6" s="50"/>
      <c r="H6" s="50"/>
      <c r="I6" s="50"/>
      <c r="J6" s="50"/>
      <c r="K6" s="50"/>
      <c r="L6" s="50"/>
      <c r="M6" s="50"/>
      <c r="N6" s="50"/>
      <c r="O6" s="50"/>
      <c r="P6" s="50"/>
      <c r="Q6" s="50"/>
      <c r="R6" s="50"/>
      <c r="S6" s="50"/>
      <c r="T6" s="50"/>
      <c r="U6" s="50"/>
    </row>
    <row r="7" spans="1:21" ht="97.2" x14ac:dyDescent="0.25">
      <c r="A7" s="90" t="s">
        <v>245</v>
      </c>
      <c r="B7" s="106" t="s">
        <v>246</v>
      </c>
      <c r="C7" s="101" t="s">
        <v>247</v>
      </c>
      <c r="D7" s="102" t="s">
        <v>248</v>
      </c>
      <c r="E7" s="50"/>
      <c r="F7" s="50"/>
      <c r="G7" s="50"/>
      <c r="H7" s="50"/>
      <c r="I7" s="50"/>
      <c r="J7" s="50"/>
      <c r="K7" s="50"/>
      <c r="L7" s="50"/>
      <c r="M7" s="50"/>
      <c r="N7" s="50"/>
      <c r="O7" s="50"/>
      <c r="P7" s="50"/>
      <c r="Q7" s="50"/>
      <c r="R7" s="50"/>
      <c r="S7" s="50"/>
      <c r="T7" s="50"/>
      <c r="U7" s="50"/>
    </row>
    <row r="8" spans="1:21" ht="64.8" x14ac:dyDescent="0.25">
      <c r="A8" s="90" t="s">
        <v>249</v>
      </c>
      <c r="B8" s="107" t="s">
        <v>250</v>
      </c>
      <c r="C8" s="101" t="s">
        <v>251</v>
      </c>
      <c r="D8" s="102" t="s">
        <v>252</v>
      </c>
      <c r="E8" s="50"/>
      <c r="F8" s="50"/>
      <c r="G8" s="50"/>
      <c r="H8" s="50"/>
      <c r="I8" s="50"/>
      <c r="J8" s="50"/>
      <c r="K8" s="50"/>
      <c r="L8" s="50"/>
      <c r="M8" s="50"/>
      <c r="N8" s="50"/>
      <c r="O8" s="50"/>
      <c r="P8" s="50"/>
      <c r="Q8" s="50"/>
      <c r="R8" s="50"/>
      <c r="S8" s="50"/>
      <c r="T8" s="50"/>
      <c r="U8" s="50"/>
    </row>
    <row r="9" spans="1:21" ht="20.399999999999999" x14ac:dyDescent="0.25">
      <c r="A9" s="90"/>
      <c r="B9" s="90"/>
      <c r="C9" s="91"/>
      <c r="D9" s="91"/>
      <c r="E9" s="50"/>
      <c r="F9" s="50"/>
      <c r="G9" s="50"/>
      <c r="H9" s="50"/>
      <c r="I9" s="50"/>
      <c r="J9" s="50"/>
      <c r="K9" s="50"/>
      <c r="L9" s="50"/>
      <c r="M9" s="50"/>
      <c r="N9" s="50"/>
      <c r="O9" s="50"/>
      <c r="P9" s="50"/>
      <c r="Q9" s="50"/>
      <c r="R9" s="50"/>
      <c r="S9" s="50"/>
      <c r="T9" s="50"/>
      <c r="U9" s="50"/>
    </row>
    <row r="10" spans="1:21" x14ac:dyDescent="0.25">
      <c r="A10" s="90"/>
      <c r="B10" s="92"/>
      <c r="C10" s="92"/>
      <c r="D10" s="92"/>
      <c r="E10" s="50"/>
      <c r="F10" s="50"/>
      <c r="G10" s="50"/>
      <c r="H10" s="50"/>
      <c r="I10" s="50"/>
      <c r="J10" s="50"/>
      <c r="K10" s="50"/>
      <c r="L10" s="50"/>
      <c r="M10" s="50"/>
      <c r="N10" s="50"/>
      <c r="O10" s="50"/>
      <c r="P10" s="50"/>
      <c r="Q10" s="50"/>
      <c r="R10" s="50"/>
      <c r="S10" s="50"/>
      <c r="T10" s="50"/>
      <c r="U10" s="50"/>
    </row>
    <row r="11" spans="1:21" x14ac:dyDescent="0.25">
      <c r="A11" s="90"/>
      <c r="B11" s="90" t="s">
        <v>253</v>
      </c>
      <c r="C11" s="90" t="s">
        <v>166</v>
      </c>
      <c r="D11" s="90" t="s">
        <v>254</v>
      </c>
      <c r="E11" s="50"/>
      <c r="F11" s="50"/>
      <c r="G11" s="50"/>
      <c r="H11" s="50"/>
      <c r="I11" s="50"/>
      <c r="J11" s="50"/>
      <c r="K11" s="50"/>
      <c r="L11" s="50"/>
      <c r="M11" s="50"/>
      <c r="N11" s="50"/>
      <c r="O11" s="50"/>
      <c r="P11" s="50"/>
      <c r="Q11" s="50"/>
      <c r="R11" s="50"/>
      <c r="S11" s="50"/>
      <c r="T11" s="50"/>
      <c r="U11" s="50"/>
    </row>
    <row r="12" spans="1:21" x14ac:dyDescent="0.25">
      <c r="A12" s="90"/>
      <c r="B12" s="90" t="s">
        <v>255</v>
      </c>
      <c r="C12" s="90" t="s">
        <v>256</v>
      </c>
      <c r="D12" s="90" t="s">
        <v>106</v>
      </c>
      <c r="E12" s="50"/>
      <c r="F12" s="50"/>
      <c r="G12" s="50"/>
      <c r="H12" s="50"/>
      <c r="I12" s="50"/>
      <c r="J12" s="50"/>
      <c r="K12" s="50"/>
      <c r="L12" s="50"/>
      <c r="M12" s="50"/>
      <c r="N12" s="50"/>
      <c r="O12" s="50"/>
      <c r="P12" s="50"/>
      <c r="Q12" s="50"/>
      <c r="R12" s="50"/>
      <c r="S12" s="50"/>
      <c r="T12" s="50"/>
      <c r="U12" s="50"/>
    </row>
    <row r="13" spans="1:21" x14ac:dyDescent="0.25">
      <c r="A13" s="90"/>
      <c r="B13" s="90"/>
      <c r="C13" s="90" t="s">
        <v>257</v>
      </c>
      <c r="D13" s="90" t="s">
        <v>133</v>
      </c>
      <c r="E13" s="50"/>
      <c r="F13" s="50"/>
      <c r="G13" s="50"/>
      <c r="H13" s="50"/>
      <c r="I13" s="50"/>
      <c r="J13" s="50"/>
      <c r="K13" s="50"/>
      <c r="L13" s="50"/>
      <c r="M13" s="50"/>
      <c r="N13" s="50"/>
      <c r="O13" s="50"/>
      <c r="P13" s="50"/>
      <c r="Q13" s="50"/>
      <c r="R13" s="50"/>
      <c r="S13" s="50"/>
      <c r="T13" s="50"/>
      <c r="U13" s="50"/>
    </row>
    <row r="14" spans="1:21" x14ac:dyDescent="0.25">
      <c r="A14" s="90"/>
      <c r="B14" s="90"/>
      <c r="C14" s="90" t="s">
        <v>258</v>
      </c>
      <c r="D14" s="90" t="s">
        <v>259</v>
      </c>
      <c r="E14" s="50"/>
      <c r="F14" s="50"/>
      <c r="G14" s="50"/>
      <c r="H14" s="50"/>
      <c r="I14" s="50"/>
      <c r="J14" s="50"/>
      <c r="K14" s="50"/>
      <c r="L14" s="50"/>
      <c r="M14" s="50"/>
      <c r="N14" s="50"/>
      <c r="O14" s="50"/>
      <c r="P14" s="50"/>
      <c r="Q14" s="50"/>
      <c r="R14" s="50"/>
      <c r="S14" s="50"/>
      <c r="T14" s="50"/>
      <c r="U14" s="50"/>
    </row>
    <row r="15" spans="1:21" x14ac:dyDescent="0.25">
      <c r="A15" s="90"/>
      <c r="B15" s="90"/>
      <c r="C15" s="90" t="s">
        <v>260</v>
      </c>
      <c r="D15" s="90" t="s">
        <v>261</v>
      </c>
      <c r="E15" s="50"/>
      <c r="F15" s="50"/>
      <c r="G15" s="50"/>
      <c r="H15" s="50"/>
      <c r="I15" s="50"/>
      <c r="J15" s="50"/>
      <c r="K15" s="50"/>
      <c r="L15" s="50"/>
      <c r="M15" s="50"/>
      <c r="N15" s="50"/>
      <c r="O15" s="50"/>
      <c r="P15" s="50"/>
      <c r="Q15" s="50"/>
      <c r="R15" s="50"/>
      <c r="S15" s="50"/>
      <c r="T15" s="50"/>
      <c r="U15" s="50"/>
    </row>
    <row r="16" spans="1:21" x14ac:dyDescent="0.25">
      <c r="A16" s="90"/>
      <c r="B16" s="90"/>
      <c r="C16" s="90"/>
      <c r="D16" s="90"/>
      <c r="E16" s="50"/>
      <c r="F16" s="50"/>
      <c r="G16" s="50"/>
      <c r="H16" s="50"/>
      <c r="I16" s="50"/>
      <c r="J16" s="50"/>
      <c r="K16" s="50"/>
      <c r="L16" s="50"/>
      <c r="M16" s="50"/>
      <c r="N16" s="50"/>
      <c r="O16" s="50"/>
    </row>
    <row r="17" spans="1:15" x14ac:dyDescent="0.25">
      <c r="A17" s="90"/>
      <c r="B17" s="90"/>
      <c r="C17" s="90"/>
      <c r="D17" s="90"/>
      <c r="E17" s="50"/>
      <c r="F17" s="50"/>
      <c r="G17" s="50"/>
      <c r="H17" s="50"/>
      <c r="I17" s="50"/>
      <c r="J17" s="50"/>
      <c r="K17" s="50"/>
      <c r="L17" s="50"/>
      <c r="M17" s="50"/>
      <c r="N17" s="50"/>
      <c r="O17" s="50"/>
    </row>
    <row r="18" spans="1:15" x14ac:dyDescent="0.25">
      <c r="A18" s="90"/>
      <c r="B18" s="58"/>
      <c r="C18" s="58"/>
      <c r="D18" s="58"/>
      <c r="E18" s="50"/>
      <c r="F18" s="50"/>
      <c r="G18" s="50"/>
      <c r="H18" s="50"/>
      <c r="I18" s="50"/>
      <c r="J18" s="50"/>
      <c r="K18" s="50"/>
      <c r="L18" s="50"/>
      <c r="M18" s="50"/>
      <c r="N18" s="50"/>
      <c r="O18" s="50"/>
    </row>
    <row r="19" spans="1:15" x14ac:dyDescent="0.25">
      <c r="A19" s="90"/>
      <c r="B19" s="58"/>
      <c r="C19" s="58"/>
      <c r="D19" s="58"/>
      <c r="E19" s="50"/>
      <c r="F19" s="50"/>
      <c r="G19" s="50"/>
      <c r="H19" s="50"/>
      <c r="I19" s="50"/>
      <c r="J19" s="50"/>
      <c r="K19" s="50"/>
      <c r="L19" s="50"/>
      <c r="M19" s="50"/>
      <c r="N19" s="50"/>
      <c r="O19" s="50"/>
    </row>
    <row r="20" spans="1:15" x14ac:dyDescent="0.25">
      <c r="A20" s="90"/>
      <c r="B20" s="58"/>
      <c r="C20" s="58"/>
      <c r="D20" s="58"/>
      <c r="E20" s="50"/>
      <c r="F20" s="50"/>
      <c r="G20" s="50"/>
      <c r="H20" s="50"/>
      <c r="I20" s="50"/>
      <c r="J20" s="50"/>
      <c r="K20" s="50"/>
      <c r="L20" s="50"/>
      <c r="M20" s="50"/>
      <c r="N20" s="50"/>
      <c r="O20" s="50"/>
    </row>
    <row r="21" spans="1:15" x14ac:dyDescent="0.25">
      <c r="A21" s="90"/>
      <c r="B21" s="58"/>
      <c r="C21" s="58"/>
      <c r="D21" s="58"/>
      <c r="E21" s="50"/>
      <c r="F21" s="50"/>
      <c r="G21" s="50"/>
      <c r="H21" s="50"/>
      <c r="I21" s="50"/>
      <c r="J21" s="50"/>
      <c r="K21" s="50"/>
      <c r="L21" s="50"/>
      <c r="M21" s="50"/>
      <c r="N21" s="50"/>
      <c r="O21" s="50"/>
    </row>
    <row r="22" spans="1:15" ht="20.399999999999999" x14ac:dyDescent="0.25">
      <c r="A22" s="90"/>
      <c r="B22" s="90"/>
      <c r="C22" s="91"/>
      <c r="D22" s="91"/>
      <c r="E22" s="50"/>
      <c r="F22" s="50"/>
      <c r="G22" s="50"/>
      <c r="H22" s="50"/>
      <c r="I22" s="50"/>
      <c r="J22" s="50"/>
      <c r="K22" s="50"/>
      <c r="L22" s="50"/>
      <c r="M22" s="50"/>
      <c r="N22" s="50"/>
      <c r="O22" s="50"/>
    </row>
    <row r="23" spans="1:15" ht="20.399999999999999" x14ac:dyDescent="0.25">
      <c r="A23" s="90"/>
      <c r="B23" s="90"/>
      <c r="C23" s="91"/>
      <c r="D23" s="91"/>
      <c r="E23" s="50"/>
      <c r="F23" s="50"/>
      <c r="G23" s="50"/>
      <c r="H23" s="50"/>
      <c r="I23" s="50"/>
      <c r="J23" s="50"/>
      <c r="K23" s="50"/>
      <c r="L23" s="50"/>
      <c r="M23" s="50"/>
      <c r="N23" s="50"/>
      <c r="O23" s="50"/>
    </row>
    <row r="24" spans="1:15" ht="20.399999999999999" x14ac:dyDescent="0.25">
      <c r="A24" s="90"/>
      <c r="B24" s="90"/>
      <c r="C24" s="91"/>
      <c r="D24" s="91"/>
      <c r="E24" s="50"/>
      <c r="F24" s="50"/>
      <c r="G24" s="50"/>
      <c r="H24" s="50"/>
      <c r="I24" s="50"/>
      <c r="J24" s="50"/>
      <c r="K24" s="50"/>
      <c r="L24" s="50"/>
      <c r="M24" s="50"/>
      <c r="N24" s="50"/>
      <c r="O24" s="50"/>
    </row>
    <row r="25" spans="1:15" ht="20.399999999999999" x14ac:dyDescent="0.25">
      <c r="A25" s="90"/>
      <c r="B25" s="90"/>
      <c r="C25" s="91"/>
      <c r="D25" s="91"/>
      <c r="E25" s="50"/>
      <c r="F25" s="50"/>
      <c r="G25" s="50"/>
      <c r="H25" s="50"/>
      <c r="I25" s="50"/>
      <c r="J25" s="50"/>
      <c r="K25" s="50"/>
      <c r="L25" s="50"/>
      <c r="M25" s="50"/>
      <c r="N25" s="50"/>
      <c r="O25" s="50"/>
    </row>
    <row r="26" spans="1:15" ht="20.399999999999999" x14ac:dyDescent="0.25">
      <c r="A26" s="90"/>
      <c r="B26" s="90"/>
      <c r="C26" s="91"/>
      <c r="D26" s="91"/>
      <c r="E26" s="50"/>
      <c r="F26" s="50"/>
      <c r="G26" s="50"/>
      <c r="H26" s="50"/>
      <c r="I26" s="50"/>
      <c r="J26" s="50"/>
      <c r="K26" s="50"/>
      <c r="L26" s="50"/>
      <c r="M26" s="50"/>
      <c r="N26" s="50"/>
      <c r="O26" s="50"/>
    </row>
    <row r="27" spans="1:15" ht="20.399999999999999" x14ac:dyDescent="0.25">
      <c r="A27" s="90"/>
      <c r="B27" s="90"/>
      <c r="C27" s="91"/>
      <c r="D27" s="91"/>
      <c r="E27" s="50"/>
      <c r="F27" s="50"/>
      <c r="G27" s="50"/>
      <c r="H27" s="50"/>
      <c r="I27" s="50"/>
      <c r="J27" s="50"/>
      <c r="K27" s="50"/>
      <c r="L27" s="50"/>
      <c r="M27" s="50"/>
      <c r="N27" s="50"/>
      <c r="O27" s="50"/>
    </row>
    <row r="28" spans="1:15" ht="20.399999999999999" x14ac:dyDescent="0.25">
      <c r="A28" s="90"/>
      <c r="B28" s="90"/>
      <c r="C28" s="91"/>
      <c r="D28" s="91"/>
      <c r="E28" s="50"/>
      <c r="F28" s="50"/>
      <c r="G28" s="50"/>
      <c r="H28" s="50"/>
      <c r="I28" s="50"/>
      <c r="J28" s="50"/>
      <c r="K28" s="50"/>
      <c r="L28" s="50"/>
      <c r="M28" s="50"/>
      <c r="N28" s="50"/>
      <c r="O28" s="50"/>
    </row>
    <row r="29" spans="1:15" ht="20.399999999999999" x14ac:dyDescent="0.25">
      <c r="A29" s="90"/>
      <c r="B29" s="90"/>
      <c r="C29" s="91"/>
      <c r="D29" s="91"/>
      <c r="E29" s="50"/>
      <c r="F29" s="50"/>
      <c r="G29" s="50"/>
      <c r="H29" s="50"/>
      <c r="I29" s="50"/>
      <c r="J29" s="50"/>
      <c r="K29" s="50"/>
      <c r="L29" s="50"/>
      <c r="M29" s="50"/>
      <c r="N29" s="50"/>
      <c r="O29" s="50"/>
    </row>
    <row r="30" spans="1:15" ht="20.399999999999999" x14ac:dyDescent="0.25">
      <c r="A30" s="90"/>
      <c r="B30" s="90"/>
      <c r="C30" s="91"/>
      <c r="D30" s="91"/>
      <c r="E30" s="50"/>
      <c r="F30" s="50"/>
      <c r="G30" s="50"/>
      <c r="H30" s="50"/>
      <c r="I30" s="50"/>
      <c r="J30" s="50"/>
      <c r="K30" s="50"/>
      <c r="L30" s="50"/>
      <c r="M30" s="50"/>
      <c r="N30" s="50"/>
      <c r="O30" s="50"/>
    </row>
    <row r="31" spans="1:15" ht="20.399999999999999" x14ac:dyDescent="0.25">
      <c r="A31" s="90"/>
      <c r="B31" s="90"/>
      <c r="C31" s="91"/>
      <c r="D31" s="91"/>
      <c r="E31" s="50"/>
      <c r="F31" s="50"/>
      <c r="G31" s="50"/>
      <c r="H31" s="50"/>
      <c r="I31" s="50"/>
      <c r="J31" s="50"/>
      <c r="K31" s="50"/>
      <c r="L31" s="50"/>
      <c r="M31" s="50"/>
      <c r="N31" s="50"/>
      <c r="O31" s="50"/>
    </row>
    <row r="32" spans="1:15" ht="20.399999999999999" x14ac:dyDescent="0.25">
      <c r="A32" s="90"/>
      <c r="B32" s="90"/>
      <c r="C32" s="91"/>
      <c r="D32" s="91"/>
      <c r="E32" s="50"/>
      <c r="F32" s="50"/>
      <c r="G32" s="50"/>
      <c r="H32" s="50"/>
      <c r="I32" s="50"/>
      <c r="J32" s="50"/>
      <c r="K32" s="50"/>
      <c r="L32" s="50"/>
      <c r="M32" s="50"/>
      <c r="N32" s="50"/>
      <c r="O32" s="50"/>
    </row>
    <row r="33" spans="1:15" ht="20.399999999999999" x14ac:dyDescent="0.25">
      <c r="A33" s="90"/>
      <c r="B33" s="90"/>
      <c r="C33" s="91"/>
      <c r="D33" s="91"/>
      <c r="E33" s="50"/>
      <c r="F33" s="50"/>
      <c r="G33" s="50"/>
      <c r="H33" s="50"/>
      <c r="I33" s="50"/>
      <c r="J33" s="50"/>
      <c r="K33" s="50"/>
      <c r="L33" s="50"/>
      <c r="M33" s="50"/>
      <c r="N33" s="50"/>
      <c r="O33" s="50"/>
    </row>
    <row r="34" spans="1:15" ht="20.399999999999999" x14ac:dyDescent="0.25">
      <c r="A34" s="90"/>
      <c r="B34" s="90"/>
      <c r="C34" s="91"/>
      <c r="D34" s="91"/>
      <c r="E34" s="50"/>
      <c r="F34" s="50"/>
      <c r="G34" s="50"/>
      <c r="H34" s="50"/>
      <c r="I34" s="50"/>
      <c r="J34" s="50"/>
      <c r="K34" s="50"/>
      <c r="L34" s="50"/>
      <c r="M34" s="50"/>
      <c r="N34" s="50"/>
      <c r="O34" s="50"/>
    </row>
    <row r="35" spans="1:15" ht="20.399999999999999" x14ac:dyDescent="0.25">
      <c r="A35" s="90"/>
      <c r="B35" s="90"/>
      <c r="C35" s="91"/>
      <c r="D35" s="91"/>
      <c r="E35" s="50"/>
      <c r="F35" s="50"/>
      <c r="G35" s="50"/>
      <c r="H35" s="50"/>
      <c r="I35" s="50"/>
      <c r="J35" s="50"/>
      <c r="K35" s="50"/>
      <c r="L35" s="50"/>
      <c r="M35" s="50"/>
      <c r="N35" s="50"/>
      <c r="O35" s="50"/>
    </row>
    <row r="36" spans="1:15" ht="20.399999999999999" x14ac:dyDescent="0.25">
      <c r="A36" s="90"/>
      <c r="B36" s="90"/>
      <c r="C36" s="91"/>
      <c r="D36" s="91"/>
      <c r="E36" s="50"/>
      <c r="F36" s="50"/>
      <c r="G36" s="50"/>
      <c r="H36" s="50"/>
      <c r="I36" s="50"/>
      <c r="J36" s="50"/>
      <c r="K36" s="50"/>
      <c r="L36" s="50"/>
      <c r="M36" s="50"/>
      <c r="N36" s="50"/>
      <c r="O36" s="50"/>
    </row>
    <row r="37" spans="1:15" ht="20.399999999999999" x14ac:dyDescent="0.25">
      <c r="A37" s="90"/>
      <c r="B37" s="90"/>
      <c r="C37" s="91"/>
      <c r="D37" s="91"/>
      <c r="E37" s="50"/>
      <c r="F37" s="50"/>
      <c r="G37" s="50"/>
      <c r="H37" s="50"/>
      <c r="I37" s="50"/>
      <c r="J37" s="50"/>
      <c r="K37" s="50"/>
      <c r="L37" s="50"/>
      <c r="M37" s="50"/>
      <c r="N37" s="50"/>
      <c r="O37" s="50"/>
    </row>
    <row r="38" spans="1:15" ht="20.399999999999999" x14ac:dyDescent="0.25">
      <c r="A38" s="90"/>
      <c r="B38" s="90"/>
      <c r="C38" s="91"/>
      <c r="D38" s="91"/>
      <c r="E38" s="50"/>
      <c r="F38" s="50"/>
      <c r="G38" s="50"/>
      <c r="H38" s="50"/>
      <c r="I38" s="50"/>
      <c r="J38" s="50"/>
      <c r="K38" s="50"/>
      <c r="L38" s="50"/>
      <c r="M38" s="50"/>
      <c r="N38" s="50"/>
      <c r="O38" s="50"/>
    </row>
    <row r="39" spans="1:15" ht="20.399999999999999" x14ac:dyDescent="0.25">
      <c r="A39" s="90"/>
      <c r="B39" s="90"/>
      <c r="C39" s="91"/>
      <c r="D39" s="91"/>
      <c r="E39" s="50"/>
      <c r="F39" s="50"/>
      <c r="G39" s="50"/>
      <c r="H39" s="50"/>
      <c r="I39" s="50"/>
      <c r="J39" s="50"/>
      <c r="K39" s="50"/>
      <c r="L39" s="50"/>
      <c r="M39" s="50"/>
      <c r="N39" s="50"/>
      <c r="O39" s="50"/>
    </row>
    <row r="40" spans="1:15" ht="20.399999999999999" x14ac:dyDescent="0.25">
      <c r="A40" s="90"/>
      <c r="B40" s="90"/>
      <c r="C40" s="91"/>
      <c r="D40" s="91"/>
      <c r="E40" s="50"/>
      <c r="F40" s="50"/>
      <c r="G40" s="50"/>
      <c r="H40" s="50"/>
      <c r="I40" s="50"/>
      <c r="J40" s="50"/>
      <c r="K40" s="50"/>
      <c r="L40" s="50"/>
      <c r="M40" s="50"/>
      <c r="N40" s="50"/>
      <c r="O40" s="50"/>
    </row>
    <row r="41" spans="1:15" ht="20.399999999999999" x14ac:dyDescent="0.25">
      <c r="A41" s="90"/>
      <c r="B41" s="90"/>
      <c r="C41" s="91"/>
      <c r="D41" s="91"/>
      <c r="E41" s="50"/>
      <c r="F41" s="50"/>
      <c r="G41" s="50"/>
      <c r="H41" s="50"/>
      <c r="I41" s="50"/>
      <c r="J41" s="50"/>
      <c r="K41" s="50"/>
      <c r="L41" s="50"/>
      <c r="M41" s="50"/>
      <c r="N41" s="50"/>
      <c r="O41" s="50"/>
    </row>
    <row r="42" spans="1:15" ht="20.399999999999999" x14ac:dyDescent="0.25">
      <c r="A42" s="90"/>
      <c r="B42" s="90"/>
      <c r="C42" s="91"/>
      <c r="D42" s="91"/>
      <c r="E42" s="50"/>
      <c r="F42" s="50"/>
      <c r="G42" s="50"/>
      <c r="H42" s="50"/>
      <c r="I42" s="50"/>
      <c r="J42" s="50"/>
      <c r="K42" s="50"/>
      <c r="L42" s="50"/>
      <c r="M42" s="50"/>
      <c r="N42" s="50"/>
      <c r="O42" s="50"/>
    </row>
    <row r="43" spans="1:15" ht="20.399999999999999" x14ac:dyDescent="0.25">
      <c r="A43" s="90"/>
      <c r="B43" s="90"/>
      <c r="C43" s="91"/>
      <c r="D43" s="91"/>
      <c r="E43" s="50"/>
      <c r="F43" s="50"/>
      <c r="G43" s="50"/>
      <c r="H43" s="50"/>
      <c r="I43" s="50"/>
      <c r="J43" s="50"/>
      <c r="K43" s="50"/>
      <c r="L43" s="50"/>
      <c r="M43" s="50"/>
      <c r="N43" s="50"/>
      <c r="O43" s="50"/>
    </row>
    <row r="44" spans="1:15" ht="20.399999999999999" x14ac:dyDescent="0.25">
      <c r="A44" s="90"/>
      <c r="B44" s="90"/>
      <c r="C44" s="91"/>
      <c r="D44" s="91"/>
      <c r="E44" s="50"/>
      <c r="F44" s="50"/>
      <c r="G44" s="50"/>
      <c r="H44" s="50"/>
      <c r="I44" s="50"/>
      <c r="J44" s="50"/>
      <c r="K44" s="50"/>
      <c r="L44" s="50"/>
      <c r="M44" s="50"/>
      <c r="N44" s="50"/>
      <c r="O44" s="50"/>
    </row>
    <row r="45" spans="1:15" ht="20.399999999999999" x14ac:dyDescent="0.25">
      <c r="A45" s="90"/>
      <c r="B45" s="90"/>
      <c r="C45" s="91"/>
      <c r="D45" s="91"/>
      <c r="E45" s="50"/>
      <c r="F45" s="50"/>
      <c r="G45" s="50"/>
      <c r="H45" s="50"/>
      <c r="I45" s="50"/>
      <c r="J45" s="50"/>
      <c r="K45" s="50"/>
      <c r="L45" s="50"/>
      <c r="M45" s="50"/>
      <c r="N45" s="50"/>
      <c r="O45" s="50"/>
    </row>
    <row r="46" spans="1:15" ht="20.399999999999999" x14ac:dyDescent="0.25">
      <c r="A46" s="90"/>
      <c r="B46" s="90"/>
      <c r="C46" s="91"/>
      <c r="D46" s="91"/>
      <c r="E46" s="50"/>
      <c r="F46" s="50"/>
      <c r="G46" s="50"/>
      <c r="H46" s="50"/>
      <c r="I46" s="50"/>
      <c r="J46" s="50"/>
      <c r="K46" s="50"/>
      <c r="L46" s="50"/>
      <c r="M46" s="50"/>
      <c r="N46" s="50"/>
      <c r="O46" s="50"/>
    </row>
    <row r="47" spans="1:15" ht="20.399999999999999" x14ac:dyDescent="0.25">
      <c r="A47" s="90"/>
      <c r="B47" s="90"/>
      <c r="C47" s="91"/>
      <c r="D47" s="91"/>
      <c r="E47" s="50"/>
      <c r="F47" s="50"/>
      <c r="G47" s="50"/>
      <c r="H47" s="50"/>
      <c r="I47" s="50"/>
      <c r="J47" s="50"/>
      <c r="K47" s="50"/>
      <c r="L47" s="50"/>
      <c r="M47" s="50"/>
      <c r="N47" s="50"/>
      <c r="O47" s="50"/>
    </row>
    <row r="48" spans="1:15" ht="20.399999999999999" x14ac:dyDescent="0.25">
      <c r="A48" s="90"/>
      <c r="B48" s="90"/>
      <c r="C48" s="91"/>
      <c r="D48" s="91"/>
      <c r="E48" s="50"/>
      <c r="F48" s="50"/>
      <c r="G48" s="50"/>
      <c r="H48" s="50"/>
      <c r="I48" s="50"/>
      <c r="J48" s="50"/>
      <c r="K48" s="50"/>
      <c r="L48" s="50"/>
      <c r="M48" s="50"/>
      <c r="N48" s="50"/>
      <c r="O48" s="50"/>
    </row>
    <row r="49" spans="1:15" ht="20.399999999999999" x14ac:dyDescent="0.25">
      <c r="A49" s="90"/>
      <c r="B49" s="90"/>
      <c r="C49" s="91"/>
      <c r="D49" s="91"/>
      <c r="E49" s="50"/>
      <c r="F49" s="50"/>
      <c r="G49" s="50"/>
      <c r="H49" s="50"/>
      <c r="I49" s="50"/>
      <c r="J49" s="50"/>
      <c r="K49" s="50"/>
      <c r="L49" s="50"/>
      <c r="M49" s="50"/>
      <c r="N49" s="50"/>
      <c r="O49" s="50"/>
    </row>
    <row r="50" spans="1:15" ht="20.399999999999999" x14ac:dyDescent="0.25">
      <c r="A50" s="90"/>
      <c r="B50" s="90"/>
      <c r="C50" s="91"/>
      <c r="D50" s="91"/>
      <c r="E50" s="50"/>
      <c r="F50" s="50"/>
      <c r="G50" s="50"/>
      <c r="H50" s="50"/>
      <c r="I50" s="50"/>
      <c r="J50" s="50"/>
      <c r="K50" s="50"/>
      <c r="L50" s="50"/>
      <c r="M50" s="50"/>
      <c r="N50" s="50"/>
      <c r="O50" s="50"/>
    </row>
    <row r="51" spans="1:15" ht="20.399999999999999" x14ac:dyDescent="0.25">
      <c r="A51" s="90"/>
      <c r="B51" s="90"/>
      <c r="C51" s="91"/>
      <c r="D51" s="91"/>
      <c r="E51" s="50"/>
      <c r="F51" s="50"/>
      <c r="G51" s="50"/>
      <c r="H51" s="50"/>
      <c r="I51" s="50"/>
      <c r="J51" s="50"/>
      <c r="K51" s="50"/>
      <c r="L51" s="50"/>
      <c r="M51" s="50"/>
      <c r="N51" s="50"/>
      <c r="O51" s="50"/>
    </row>
    <row r="52" spans="1:15" ht="20.399999999999999" x14ac:dyDescent="0.25">
      <c r="A52" s="90"/>
      <c r="B52" s="93"/>
      <c r="C52" s="94"/>
      <c r="D52" s="94"/>
    </row>
    <row r="53" spans="1:15" ht="20.399999999999999" x14ac:dyDescent="0.25">
      <c r="A53" s="90"/>
      <c r="B53" s="93"/>
      <c r="C53" s="94"/>
      <c r="D53" s="94"/>
    </row>
    <row r="54" spans="1:15" ht="20.399999999999999" x14ac:dyDescent="0.25">
      <c r="A54" s="90"/>
      <c r="B54" s="93"/>
      <c r="C54" s="94"/>
      <c r="D54" s="94"/>
    </row>
    <row r="55" spans="1:15" ht="20.399999999999999" x14ac:dyDescent="0.25">
      <c r="A55" s="90"/>
      <c r="B55" s="93"/>
      <c r="C55" s="94"/>
      <c r="D55" s="94"/>
    </row>
    <row r="56" spans="1:15" ht="20.399999999999999" x14ac:dyDescent="0.25">
      <c r="A56" s="90"/>
      <c r="B56" s="93"/>
      <c r="C56" s="94"/>
      <c r="D56" s="94"/>
    </row>
    <row r="57" spans="1:15" ht="20.399999999999999" x14ac:dyDescent="0.25">
      <c r="A57" s="90"/>
      <c r="B57" s="93"/>
      <c r="C57" s="94"/>
      <c r="D57" s="94"/>
    </row>
    <row r="58" spans="1:15" ht="20.399999999999999" x14ac:dyDescent="0.25">
      <c r="A58" s="90"/>
      <c r="B58" s="93"/>
      <c r="C58" s="94"/>
      <c r="D58" s="94"/>
    </row>
    <row r="59" spans="1:15" ht="20.399999999999999" x14ac:dyDescent="0.25">
      <c r="A59" s="90"/>
      <c r="B59" s="93"/>
      <c r="C59" s="94"/>
      <c r="D59" s="94"/>
    </row>
    <row r="60" spans="1:15" ht="20.399999999999999" x14ac:dyDescent="0.25">
      <c r="A60" s="90"/>
      <c r="B60" s="93"/>
      <c r="C60" s="94"/>
      <c r="D60" s="94"/>
    </row>
    <row r="61" spans="1:15" ht="20.399999999999999" x14ac:dyDescent="0.25">
      <c r="A61" s="90"/>
      <c r="B61" s="93"/>
      <c r="C61" s="94"/>
      <c r="D61" s="94"/>
    </row>
    <row r="62" spans="1:15" ht="20.399999999999999" x14ac:dyDescent="0.25">
      <c r="A62" s="90"/>
      <c r="B62" s="93"/>
      <c r="C62" s="94"/>
      <c r="D62" s="94"/>
    </row>
    <row r="63" spans="1:15" ht="20.399999999999999" x14ac:dyDescent="0.25">
      <c r="A63" s="90"/>
      <c r="B63" s="93"/>
      <c r="C63" s="94"/>
      <c r="D63" s="94"/>
    </row>
    <row r="64" spans="1:15" ht="20.399999999999999" x14ac:dyDescent="0.25">
      <c r="A64" s="90"/>
      <c r="B64" s="93"/>
      <c r="C64" s="94"/>
      <c r="D64" s="94"/>
    </row>
    <row r="65" spans="1:4" ht="20.399999999999999" x14ac:dyDescent="0.25">
      <c r="A65" s="90"/>
      <c r="B65" s="93"/>
      <c r="C65" s="94"/>
      <c r="D65" s="94"/>
    </row>
    <row r="66" spans="1:4" ht="20.399999999999999" x14ac:dyDescent="0.25">
      <c r="A66" s="90"/>
      <c r="B66" s="93"/>
      <c r="C66" s="94"/>
      <c r="D66" s="94"/>
    </row>
    <row r="67" spans="1:4" ht="20.399999999999999" x14ac:dyDescent="0.25">
      <c r="A67" s="90"/>
      <c r="B67" s="93"/>
      <c r="C67" s="94"/>
      <c r="D67" s="94"/>
    </row>
    <row r="68" spans="1:4" ht="20.399999999999999" x14ac:dyDescent="0.25">
      <c r="A68" s="90"/>
      <c r="B68" s="93"/>
      <c r="C68" s="94"/>
      <c r="D68" s="94"/>
    </row>
    <row r="69" spans="1:4" ht="20.399999999999999" x14ac:dyDescent="0.25">
      <c r="A69" s="90"/>
      <c r="B69" s="93"/>
      <c r="C69" s="94"/>
      <c r="D69" s="94"/>
    </row>
    <row r="70" spans="1:4" ht="20.399999999999999" x14ac:dyDescent="0.25">
      <c r="A70" s="90"/>
      <c r="B70" s="93"/>
      <c r="C70" s="94"/>
      <c r="D70" s="94"/>
    </row>
    <row r="71" spans="1:4" ht="20.399999999999999" x14ac:dyDescent="0.25">
      <c r="A71" s="90"/>
      <c r="B71" s="93"/>
      <c r="C71" s="94"/>
      <c r="D71" s="94"/>
    </row>
    <row r="72" spans="1:4" ht="20.399999999999999" x14ac:dyDescent="0.25">
      <c r="A72" s="90"/>
      <c r="B72" s="93"/>
      <c r="C72" s="94"/>
      <c r="D72" s="94"/>
    </row>
    <row r="73" spans="1:4" ht="20.399999999999999" x14ac:dyDescent="0.25">
      <c r="A73" s="90"/>
      <c r="B73" s="93"/>
      <c r="C73" s="94"/>
      <c r="D73" s="94"/>
    </row>
    <row r="74" spans="1:4" ht="20.399999999999999" x14ac:dyDescent="0.25">
      <c r="A74" s="90"/>
      <c r="B74" s="93"/>
      <c r="C74" s="94"/>
      <c r="D74" s="94"/>
    </row>
    <row r="75" spans="1:4" ht="20.399999999999999" x14ac:dyDescent="0.25">
      <c r="A75" s="90"/>
      <c r="B75" s="93"/>
      <c r="C75" s="94"/>
      <c r="D75" s="94"/>
    </row>
    <row r="76" spans="1:4" ht="20.399999999999999" x14ac:dyDescent="0.25">
      <c r="A76" s="90"/>
      <c r="B76" s="93"/>
      <c r="C76" s="94"/>
      <c r="D76" s="94"/>
    </row>
    <row r="77" spans="1:4" ht="20.399999999999999" x14ac:dyDescent="0.25">
      <c r="A77" s="90"/>
      <c r="B77" s="93"/>
      <c r="C77" s="94"/>
      <c r="D77" s="94"/>
    </row>
    <row r="78" spans="1:4" ht="20.399999999999999" x14ac:dyDescent="0.25">
      <c r="A78" s="90"/>
      <c r="B78" s="93"/>
      <c r="C78" s="94"/>
      <c r="D78" s="94"/>
    </row>
    <row r="79" spans="1:4" ht="20.399999999999999" x14ac:dyDescent="0.25">
      <c r="A79" s="90"/>
      <c r="B79" s="93"/>
      <c r="C79" s="94"/>
      <c r="D79" s="94"/>
    </row>
    <row r="80" spans="1:4" ht="20.399999999999999" x14ac:dyDescent="0.25">
      <c r="A80" s="90"/>
      <c r="B80" s="93"/>
      <c r="C80" s="94"/>
      <c r="D80" s="94"/>
    </row>
    <row r="81" spans="1:4" ht="20.399999999999999" x14ac:dyDescent="0.25">
      <c r="A81" s="90"/>
      <c r="B81" s="93"/>
      <c r="C81" s="94"/>
      <c r="D81" s="94"/>
    </row>
    <row r="82" spans="1:4" ht="20.399999999999999" x14ac:dyDescent="0.25">
      <c r="A82" s="90"/>
      <c r="B82" s="93"/>
      <c r="C82" s="94"/>
      <c r="D82" s="94"/>
    </row>
    <row r="83" spans="1:4" ht="20.399999999999999" x14ac:dyDescent="0.25">
      <c r="A83" s="90"/>
      <c r="B83" s="93"/>
      <c r="C83" s="94"/>
      <c r="D83" s="94"/>
    </row>
    <row r="84" spans="1:4" ht="20.399999999999999" x14ac:dyDescent="0.25">
      <c r="A84" s="90"/>
      <c r="B84" s="93"/>
      <c r="C84" s="94"/>
      <c r="D84" s="94"/>
    </row>
    <row r="85" spans="1:4" ht="20.399999999999999" x14ac:dyDescent="0.25">
      <c r="A85" s="90"/>
      <c r="B85" s="93"/>
      <c r="C85" s="94"/>
      <c r="D85" s="94"/>
    </row>
    <row r="86" spans="1:4" ht="20.399999999999999" x14ac:dyDescent="0.25">
      <c r="A86" s="90"/>
      <c r="B86" s="93"/>
      <c r="C86" s="94"/>
      <c r="D86" s="94"/>
    </row>
    <row r="87" spans="1:4" ht="20.399999999999999" x14ac:dyDescent="0.25">
      <c r="A87" s="90"/>
      <c r="B87" s="93"/>
      <c r="C87" s="94"/>
      <c r="D87" s="94"/>
    </row>
    <row r="88" spans="1:4" ht="20.399999999999999" x14ac:dyDescent="0.25">
      <c r="A88" s="90"/>
      <c r="B88" s="93"/>
      <c r="C88" s="94"/>
      <c r="D88" s="94"/>
    </row>
    <row r="89" spans="1:4" ht="20.399999999999999" x14ac:dyDescent="0.25">
      <c r="A89" s="90"/>
      <c r="B89" s="93"/>
      <c r="C89" s="94"/>
      <c r="D89" s="94"/>
    </row>
    <row r="90" spans="1:4" ht="20.399999999999999" x14ac:dyDescent="0.25">
      <c r="A90" s="90"/>
      <c r="B90" s="93"/>
      <c r="C90" s="94"/>
      <c r="D90" s="94"/>
    </row>
    <row r="91" spans="1:4" ht="20.399999999999999" x14ac:dyDescent="0.25">
      <c r="A91" s="90"/>
      <c r="B91" s="93"/>
      <c r="C91" s="94"/>
      <c r="D91" s="94"/>
    </row>
    <row r="92" spans="1:4" ht="20.399999999999999" x14ac:dyDescent="0.25">
      <c r="A92" s="90"/>
      <c r="B92" s="93"/>
      <c r="C92" s="94"/>
      <c r="D92" s="94"/>
    </row>
    <row r="93" spans="1:4" ht="20.399999999999999" x14ac:dyDescent="0.25">
      <c r="A93" s="90"/>
      <c r="B93" s="93"/>
      <c r="C93" s="94"/>
      <c r="D93" s="94"/>
    </row>
    <row r="94" spans="1:4" ht="20.399999999999999" x14ac:dyDescent="0.25">
      <c r="A94" s="90"/>
      <c r="B94" s="93"/>
      <c r="C94" s="94"/>
      <c r="D94" s="94"/>
    </row>
    <row r="95" spans="1:4" ht="20.399999999999999" x14ac:dyDescent="0.25">
      <c r="A95" s="90"/>
      <c r="B95" s="93"/>
      <c r="C95" s="94"/>
      <c r="D95" s="94"/>
    </row>
    <row r="96" spans="1:4" ht="20.399999999999999" x14ac:dyDescent="0.25">
      <c r="A96" s="90"/>
      <c r="B96" s="93"/>
      <c r="C96" s="94"/>
      <c r="D96" s="94"/>
    </row>
    <row r="97" spans="1:4" ht="20.399999999999999" x14ac:dyDescent="0.25">
      <c r="A97" s="90"/>
      <c r="B97" s="93"/>
      <c r="C97" s="94"/>
      <c r="D97" s="94"/>
    </row>
    <row r="98" spans="1:4" ht="20.399999999999999" x14ac:dyDescent="0.25">
      <c r="A98" s="90"/>
      <c r="B98" s="93"/>
      <c r="C98" s="94"/>
      <c r="D98" s="94"/>
    </row>
    <row r="99" spans="1:4" ht="20.399999999999999" x14ac:dyDescent="0.25">
      <c r="A99" s="90"/>
      <c r="B99" s="93"/>
      <c r="C99" s="94"/>
      <c r="D99" s="94"/>
    </row>
    <row r="100" spans="1:4" ht="20.399999999999999" x14ac:dyDescent="0.25">
      <c r="A100" s="90"/>
      <c r="B100" s="93"/>
      <c r="C100" s="94"/>
      <c r="D100" s="94"/>
    </row>
    <row r="101" spans="1:4" ht="20.399999999999999" x14ac:dyDescent="0.25">
      <c r="A101" s="90"/>
      <c r="B101" s="93"/>
      <c r="C101" s="94"/>
      <c r="D101" s="94"/>
    </row>
    <row r="102" spans="1:4" ht="20.399999999999999" x14ac:dyDescent="0.25">
      <c r="A102" s="90"/>
      <c r="B102" s="93"/>
      <c r="C102" s="94"/>
      <c r="D102" s="94"/>
    </row>
    <row r="103" spans="1:4" ht="20.399999999999999" x14ac:dyDescent="0.25">
      <c r="A103" s="90"/>
      <c r="B103" s="93"/>
      <c r="C103" s="94"/>
      <c r="D103" s="94"/>
    </row>
    <row r="104" spans="1:4" ht="20.399999999999999" x14ac:dyDescent="0.25">
      <c r="A104" s="90"/>
      <c r="B104" s="93"/>
      <c r="C104" s="94"/>
      <c r="D104" s="94"/>
    </row>
    <row r="105" spans="1:4" ht="20.399999999999999" x14ac:dyDescent="0.25">
      <c r="A105" s="90"/>
      <c r="B105" s="93"/>
      <c r="C105" s="94"/>
      <c r="D105" s="94"/>
    </row>
    <row r="106" spans="1:4" ht="20.399999999999999" x14ac:dyDescent="0.25">
      <c r="A106" s="90"/>
      <c r="B106" s="93"/>
      <c r="C106" s="94"/>
      <c r="D106" s="94"/>
    </row>
    <row r="107" spans="1:4" ht="20.399999999999999" x14ac:dyDescent="0.25">
      <c r="A107" s="90"/>
      <c r="B107" s="93"/>
      <c r="C107" s="94"/>
      <c r="D107" s="94"/>
    </row>
    <row r="108" spans="1:4" ht="20.399999999999999" x14ac:dyDescent="0.25">
      <c r="A108" s="90"/>
      <c r="B108" s="93"/>
      <c r="C108" s="94"/>
      <c r="D108" s="94"/>
    </row>
    <row r="109" spans="1:4" ht="20.399999999999999" x14ac:dyDescent="0.25">
      <c r="A109" s="90"/>
      <c r="B109" s="93"/>
      <c r="C109" s="94"/>
      <c r="D109" s="94"/>
    </row>
    <row r="110" spans="1:4" ht="20.399999999999999" x14ac:dyDescent="0.25">
      <c r="A110" s="90"/>
      <c r="B110" s="93"/>
      <c r="C110" s="94"/>
      <c r="D110" s="94"/>
    </row>
    <row r="111" spans="1:4" ht="20.399999999999999" x14ac:dyDescent="0.25">
      <c r="A111" s="90"/>
      <c r="B111" s="93"/>
      <c r="C111" s="94"/>
      <c r="D111" s="94"/>
    </row>
    <row r="112" spans="1:4" ht="20.399999999999999" x14ac:dyDescent="0.25">
      <c r="A112" s="90"/>
      <c r="B112" s="93"/>
      <c r="C112" s="94"/>
      <c r="D112" s="94"/>
    </row>
    <row r="113" spans="1:4" ht="20.399999999999999" x14ac:dyDescent="0.25">
      <c r="A113" s="90"/>
      <c r="B113" s="93"/>
      <c r="C113" s="94"/>
      <c r="D113" s="94"/>
    </row>
    <row r="114" spans="1:4" ht="20.399999999999999" x14ac:dyDescent="0.25">
      <c r="A114" s="90"/>
      <c r="B114" s="93"/>
      <c r="C114" s="94"/>
      <c r="D114" s="94"/>
    </row>
    <row r="115" spans="1:4" ht="20.399999999999999" x14ac:dyDescent="0.25">
      <c r="A115" s="90"/>
      <c r="B115" s="93"/>
      <c r="C115" s="94"/>
      <c r="D115" s="94"/>
    </row>
    <row r="116" spans="1:4" ht="20.399999999999999" x14ac:dyDescent="0.25">
      <c r="A116" s="90"/>
      <c r="B116" s="93"/>
      <c r="C116" s="94"/>
      <c r="D116" s="94"/>
    </row>
    <row r="117" spans="1:4" ht="20.399999999999999" x14ac:dyDescent="0.25">
      <c r="A117" s="90"/>
      <c r="B117" s="93"/>
      <c r="C117" s="94"/>
      <c r="D117" s="94"/>
    </row>
    <row r="118" spans="1:4" ht="20.399999999999999" x14ac:dyDescent="0.25">
      <c r="A118" s="90"/>
      <c r="B118" s="93"/>
      <c r="C118" s="94"/>
      <c r="D118" s="94"/>
    </row>
    <row r="119" spans="1:4" ht="20.399999999999999" x14ac:dyDescent="0.25">
      <c r="A119" s="90"/>
      <c r="B119" s="93"/>
      <c r="C119" s="94"/>
      <c r="D119" s="94"/>
    </row>
    <row r="120" spans="1:4" ht="20.399999999999999" x14ac:dyDescent="0.25">
      <c r="A120" s="90"/>
      <c r="B120" s="93"/>
      <c r="C120" s="94"/>
      <c r="D120" s="94"/>
    </row>
    <row r="121" spans="1:4" ht="20.399999999999999" x14ac:dyDescent="0.25">
      <c r="A121" s="90"/>
      <c r="B121" s="93"/>
      <c r="C121" s="94"/>
      <c r="D121" s="94"/>
    </row>
    <row r="122" spans="1:4" ht="20.399999999999999" x14ac:dyDescent="0.25">
      <c r="A122" s="90"/>
      <c r="B122" s="93"/>
      <c r="C122" s="94"/>
      <c r="D122" s="94"/>
    </row>
    <row r="123" spans="1:4" ht="20.399999999999999" x14ac:dyDescent="0.25">
      <c r="A123" s="90"/>
      <c r="B123" s="93"/>
      <c r="C123" s="94"/>
      <c r="D123" s="94"/>
    </row>
    <row r="124" spans="1:4" ht="20.399999999999999" x14ac:dyDescent="0.25">
      <c r="A124" s="90"/>
      <c r="B124" s="93"/>
      <c r="C124" s="94"/>
      <c r="D124" s="94"/>
    </row>
    <row r="125" spans="1:4" ht="20.399999999999999" x14ac:dyDescent="0.25">
      <c r="A125" s="90"/>
      <c r="B125" s="93"/>
      <c r="C125" s="94"/>
      <c r="D125" s="94"/>
    </row>
    <row r="126" spans="1:4" ht="20.399999999999999" x14ac:dyDescent="0.25">
      <c r="A126" s="90"/>
      <c r="B126" s="93"/>
      <c r="C126" s="94"/>
      <c r="D126" s="94"/>
    </row>
    <row r="127" spans="1:4" ht="20.399999999999999" x14ac:dyDescent="0.25">
      <c r="A127" s="90"/>
      <c r="B127" s="93"/>
      <c r="C127" s="94"/>
      <c r="D127" s="94"/>
    </row>
    <row r="128" spans="1:4" ht="20.399999999999999" x14ac:dyDescent="0.25">
      <c r="A128" s="90"/>
      <c r="B128" s="93"/>
      <c r="C128" s="94"/>
      <c r="D128" s="94"/>
    </row>
    <row r="129" spans="1:4" ht="20.399999999999999" x14ac:dyDescent="0.25">
      <c r="A129" s="90"/>
      <c r="B129" s="93"/>
      <c r="C129" s="94"/>
      <c r="D129" s="94"/>
    </row>
    <row r="130" spans="1:4" ht="20.399999999999999" x14ac:dyDescent="0.25">
      <c r="A130" s="90"/>
      <c r="B130" s="93"/>
      <c r="C130" s="94"/>
      <c r="D130" s="94"/>
    </row>
    <row r="131" spans="1:4" ht="20.399999999999999" x14ac:dyDescent="0.25">
      <c r="A131" s="90"/>
      <c r="B131" s="93"/>
      <c r="C131" s="94"/>
      <c r="D131" s="94"/>
    </row>
    <row r="132" spans="1:4" ht="20.399999999999999" x14ac:dyDescent="0.25">
      <c r="A132" s="90"/>
      <c r="B132" s="93"/>
      <c r="C132" s="94"/>
      <c r="D132" s="94"/>
    </row>
    <row r="133" spans="1:4" ht="20.399999999999999" x14ac:dyDescent="0.25">
      <c r="A133" s="90"/>
      <c r="B133" s="93"/>
      <c r="C133" s="94"/>
      <c r="D133" s="94"/>
    </row>
    <row r="134" spans="1:4" ht="20.399999999999999" x14ac:dyDescent="0.25">
      <c r="A134" s="90"/>
      <c r="B134" s="93"/>
      <c r="C134" s="94"/>
      <c r="D134" s="94"/>
    </row>
    <row r="135" spans="1:4" ht="20.399999999999999" x14ac:dyDescent="0.25">
      <c r="A135" s="90"/>
      <c r="B135" s="93"/>
      <c r="C135" s="94"/>
      <c r="D135" s="94"/>
    </row>
    <row r="136" spans="1:4" ht="20.399999999999999" x14ac:dyDescent="0.25">
      <c r="A136" s="90"/>
      <c r="B136" s="93"/>
      <c r="C136" s="94"/>
      <c r="D136" s="94"/>
    </row>
    <row r="137" spans="1:4" ht="20.399999999999999" x14ac:dyDescent="0.25">
      <c r="A137" s="90"/>
      <c r="B137" s="93"/>
      <c r="C137" s="94"/>
      <c r="D137" s="94"/>
    </row>
    <row r="138" spans="1:4" ht="20.399999999999999" x14ac:dyDescent="0.25">
      <c r="A138" s="90"/>
      <c r="B138" s="93"/>
      <c r="C138" s="94"/>
      <c r="D138" s="94"/>
    </row>
    <row r="139" spans="1:4" ht="20.399999999999999" x14ac:dyDescent="0.25">
      <c r="A139" s="90"/>
      <c r="B139" s="93"/>
      <c r="C139" s="94"/>
      <c r="D139" s="94"/>
    </row>
    <row r="140" spans="1:4" ht="20.399999999999999" x14ac:dyDescent="0.25">
      <c r="A140" s="90"/>
      <c r="B140" s="93"/>
      <c r="C140" s="94"/>
      <c r="D140" s="94"/>
    </row>
    <row r="141" spans="1:4" ht="20.399999999999999" x14ac:dyDescent="0.25">
      <c r="A141" s="90"/>
      <c r="B141" s="93"/>
      <c r="C141" s="94"/>
      <c r="D141" s="94"/>
    </row>
    <row r="142" spans="1:4" ht="20.399999999999999" x14ac:dyDescent="0.25">
      <c r="A142" s="90"/>
      <c r="B142" s="93"/>
      <c r="C142" s="94"/>
      <c r="D142" s="94"/>
    </row>
    <row r="143" spans="1:4" ht="20.399999999999999" x14ac:dyDescent="0.25">
      <c r="A143" s="90"/>
      <c r="B143" s="93"/>
      <c r="C143" s="94"/>
      <c r="D143" s="94"/>
    </row>
    <row r="144" spans="1:4" ht="20.399999999999999" x14ac:dyDescent="0.25">
      <c r="A144" s="90"/>
      <c r="B144" s="93"/>
      <c r="C144" s="94"/>
      <c r="D144" s="94"/>
    </row>
    <row r="145" spans="1:4" ht="20.399999999999999" x14ac:dyDescent="0.25">
      <c r="A145" s="90"/>
      <c r="B145" s="93"/>
      <c r="C145" s="94"/>
      <c r="D145" s="94"/>
    </row>
    <row r="146" spans="1:4" ht="20.399999999999999" x14ac:dyDescent="0.25">
      <c r="A146" s="90"/>
      <c r="B146" s="93"/>
      <c r="C146" s="94"/>
      <c r="D146" s="94"/>
    </row>
    <row r="147" spans="1:4" ht="20.399999999999999" x14ac:dyDescent="0.25">
      <c r="A147" s="90"/>
      <c r="B147" s="93"/>
      <c r="C147" s="94"/>
      <c r="D147" s="94"/>
    </row>
    <row r="148" spans="1:4" ht="20.399999999999999" x14ac:dyDescent="0.25">
      <c r="A148" s="90"/>
      <c r="B148" s="93"/>
      <c r="C148" s="94"/>
      <c r="D148" s="94"/>
    </row>
    <row r="149" spans="1:4" ht="20.399999999999999" x14ac:dyDescent="0.25">
      <c r="A149" s="90"/>
      <c r="B149" s="93"/>
      <c r="C149" s="94"/>
      <c r="D149" s="94"/>
    </row>
    <row r="150" spans="1:4" ht="20.399999999999999" x14ac:dyDescent="0.25">
      <c r="A150" s="90"/>
      <c r="B150" s="93"/>
      <c r="C150" s="94"/>
      <c r="D150" s="94"/>
    </row>
    <row r="151" spans="1:4" ht="20.399999999999999" x14ac:dyDescent="0.25">
      <c r="A151" s="90"/>
      <c r="B151" s="93"/>
      <c r="C151" s="94"/>
      <c r="D151" s="94"/>
    </row>
    <row r="152" spans="1:4" ht="20.399999999999999" x14ac:dyDescent="0.25">
      <c r="A152" s="90"/>
      <c r="B152" s="93"/>
      <c r="C152" s="94"/>
      <c r="D152" s="94"/>
    </row>
    <row r="153" spans="1:4" ht="20.399999999999999" x14ac:dyDescent="0.25">
      <c r="A153" s="90"/>
      <c r="B153" s="93"/>
      <c r="C153" s="94"/>
      <c r="D153" s="94"/>
    </row>
    <row r="154" spans="1:4" ht="20.399999999999999" x14ac:dyDescent="0.25">
      <c r="A154" s="90"/>
      <c r="B154" s="93"/>
      <c r="C154" s="94"/>
      <c r="D154" s="94"/>
    </row>
    <row r="155" spans="1:4" ht="20.399999999999999" x14ac:dyDescent="0.25">
      <c r="A155" s="90"/>
      <c r="B155" s="93"/>
      <c r="C155" s="94"/>
      <c r="D155" s="94"/>
    </row>
    <row r="156" spans="1:4" ht="20.399999999999999" x14ac:dyDescent="0.25">
      <c r="A156" s="90"/>
      <c r="B156" s="93"/>
      <c r="C156" s="94"/>
      <c r="D156" s="94"/>
    </row>
    <row r="157" spans="1:4" ht="20.399999999999999" x14ac:dyDescent="0.25">
      <c r="A157" s="90"/>
      <c r="B157" s="93"/>
      <c r="C157" s="94"/>
      <c r="D157" s="94"/>
    </row>
    <row r="158" spans="1:4" ht="20.399999999999999" x14ac:dyDescent="0.25">
      <c r="A158" s="90"/>
      <c r="B158" s="93"/>
      <c r="C158" s="94"/>
      <c r="D158" s="94"/>
    </row>
    <row r="159" spans="1:4" ht="20.399999999999999" x14ac:dyDescent="0.25">
      <c r="A159" s="90"/>
      <c r="B159" s="93"/>
      <c r="C159" s="94"/>
      <c r="D159" s="94"/>
    </row>
    <row r="160" spans="1:4" ht="20.399999999999999" x14ac:dyDescent="0.25">
      <c r="A160" s="90"/>
      <c r="B160" s="93"/>
      <c r="C160" s="94"/>
      <c r="D160" s="94"/>
    </row>
    <row r="161" spans="1:4" ht="20.399999999999999" x14ac:dyDescent="0.25">
      <c r="A161" s="90"/>
      <c r="B161" s="93"/>
      <c r="C161" s="94"/>
      <c r="D161" s="94"/>
    </row>
    <row r="162" spans="1:4" ht="20.399999999999999" x14ac:dyDescent="0.25">
      <c r="A162" s="90"/>
      <c r="B162" s="93"/>
      <c r="C162" s="94"/>
      <c r="D162" s="94"/>
    </row>
    <row r="163" spans="1:4" ht="20.399999999999999" x14ac:dyDescent="0.25">
      <c r="A163" s="90"/>
      <c r="B163" s="93"/>
      <c r="C163" s="94"/>
      <c r="D163" s="94"/>
    </row>
    <row r="164" spans="1:4" ht="20.399999999999999" x14ac:dyDescent="0.25">
      <c r="A164" s="90"/>
      <c r="B164" s="93"/>
      <c r="C164" s="94"/>
      <c r="D164" s="94"/>
    </row>
    <row r="165" spans="1:4" ht="20.399999999999999" x14ac:dyDescent="0.25">
      <c r="A165" s="90"/>
      <c r="B165" s="93"/>
      <c r="C165" s="94"/>
      <c r="D165" s="94"/>
    </row>
    <row r="166" spans="1:4" ht="20.399999999999999" x14ac:dyDescent="0.25">
      <c r="A166" s="90"/>
      <c r="B166" s="93"/>
      <c r="C166" s="94"/>
      <c r="D166" s="94"/>
    </row>
    <row r="167" spans="1:4" ht="20.399999999999999" x14ac:dyDescent="0.25">
      <c r="A167" s="90"/>
      <c r="B167" s="93"/>
      <c r="C167" s="94"/>
      <c r="D167" s="94"/>
    </row>
    <row r="168" spans="1:4" ht="20.399999999999999" x14ac:dyDescent="0.25">
      <c r="A168" s="90"/>
      <c r="B168" s="93"/>
      <c r="C168" s="94"/>
      <c r="D168" s="94"/>
    </row>
    <row r="169" spans="1:4" ht="20.399999999999999" x14ac:dyDescent="0.25">
      <c r="A169" s="90"/>
      <c r="B169" s="93"/>
      <c r="C169" s="94"/>
      <c r="D169" s="94"/>
    </row>
    <row r="170" spans="1:4" ht="20.399999999999999" x14ac:dyDescent="0.25">
      <c r="A170" s="90"/>
      <c r="B170" s="93"/>
      <c r="C170" s="94"/>
      <c r="D170" s="94"/>
    </row>
    <row r="171" spans="1:4" ht="20.399999999999999" x14ac:dyDescent="0.25">
      <c r="A171" s="90"/>
      <c r="B171" s="93"/>
      <c r="C171" s="94"/>
      <c r="D171" s="94"/>
    </row>
    <row r="172" spans="1:4" ht="20.399999999999999" x14ac:dyDescent="0.25">
      <c r="A172" s="90"/>
      <c r="B172" s="93"/>
      <c r="C172" s="94"/>
      <c r="D172" s="94"/>
    </row>
    <row r="173" spans="1:4" ht="20.399999999999999" x14ac:dyDescent="0.25">
      <c r="A173" s="90"/>
      <c r="B173" s="93"/>
      <c r="C173" s="94"/>
      <c r="D173" s="94"/>
    </row>
    <row r="174" spans="1:4" ht="20.399999999999999" x14ac:dyDescent="0.25">
      <c r="A174" s="90"/>
      <c r="B174" s="93"/>
      <c r="C174" s="94"/>
      <c r="D174" s="94"/>
    </row>
    <row r="175" spans="1:4" ht="20.399999999999999" x14ac:dyDescent="0.25">
      <c r="A175" s="90"/>
      <c r="B175" s="93"/>
      <c r="C175" s="94"/>
      <c r="D175" s="94"/>
    </row>
    <row r="176" spans="1:4" ht="20.399999999999999" x14ac:dyDescent="0.25">
      <c r="A176" s="90"/>
      <c r="B176" s="93"/>
      <c r="C176" s="94"/>
      <c r="D176" s="94"/>
    </row>
    <row r="177" spans="1:4" ht="20.399999999999999" x14ac:dyDescent="0.25">
      <c r="A177" s="90"/>
      <c r="B177" s="93"/>
      <c r="C177" s="94"/>
      <c r="D177" s="94"/>
    </row>
    <row r="178" spans="1:4" ht="20.399999999999999" x14ac:dyDescent="0.25">
      <c r="A178" s="90"/>
      <c r="B178" s="93"/>
      <c r="C178" s="94"/>
      <c r="D178" s="94"/>
    </row>
    <row r="179" spans="1:4" ht="20.399999999999999" x14ac:dyDescent="0.25">
      <c r="A179" s="90"/>
      <c r="B179" s="93"/>
      <c r="C179" s="94"/>
      <c r="D179" s="94"/>
    </row>
    <row r="180" spans="1:4" ht="20.399999999999999" x14ac:dyDescent="0.25">
      <c r="A180" s="90"/>
      <c r="B180" s="93"/>
      <c r="C180" s="94"/>
      <c r="D180" s="94"/>
    </row>
    <row r="181" spans="1:4" ht="20.399999999999999" x14ac:dyDescent="0.25">
      <c r="A181" s="90"/>
      <c r="B181" s="93"/>
      <c r="C181" s="94"/>
      <c r="D181" s="94"/>
    </row>
    <row r="182" spans="1:4" ht="20.399999999999999" x14ac:dyDescent="0.25">
      <c r="A182" s="90"/>
      <c r="B182" s="93"/>
      <c r="C182" s="94"/>
      <c r="D182" s="94"/>
    </row>
    <row r="183" spans="1:4" ht="20.399999999999999" x14ac:dyDescent="0.25">
      <c r="A183" s="90"/>
      <c r="B183" s="93"/>
      <c r="C183" s="94"/>
      <c r="D183" s="94"/>
    </row>
    <row r="184" spans="1:4" ht="20.399999999999999" x14ac:dyDescent="0.25">
      <c r="A184" s="90"/>
      <c r="B184" s="93"/>
      <c r="C184" s="94"/>
      <c r="D184" s="94"/>
    </row>
    <row r="185" spans="1:4" ht="20.399999999999999" x14ac:dyDescent="0.25">
      <c r="A185" s="90"/>
      <c r="B185" s="93"/>
      <c r="C185" s="94"/>
      <c r="D185" s="94"/>
    </row>
    <row r="186" spans="1:4" ht="20.399999999999999" x14ac:dyDescent="0.25">
      <c r="A186" s="90"/>
      <c r="B186" s="93"/>
      <c r="C186" s="94"/>
      <c r="D186" s="94"/>
    </row>
    <row r="187" spans="1:4" ht="20.399999999999999" x14ac:dyDescent="0.25">
      <c r="A187" s="90"/>
      <c r="B187" s="93"/>
      <c r="C187" s="94"/>
      <c r="D187" s="94"/>
    </row>
    <row r="188" spans="1:4" ht="20.399999999999999" x14ac:dyDescent="0.25">
      <c r="A188" s="90"/>
      <c r="B188" s="93"/>
      <c r="C188" s="94"/>
      <c r="D188" s="94"/>
    </row>
    <row r="189" spans="1:4" ht="20.399999999999999" x14ac:dyDescent="0.25">
      <c r="A189" s="90"/>
      <c r="B189" s="93"/>
      <c r="C189" s="94"/>
      <c r="D189" s="94"/>
    </row>
    <row r="190" spans="1:4" ht="20.399999999999999" x14ac:dyDescent="0.25">
      <c r="A190" s="90"/>
      <c r="B190" s="93"/>
      <c r="C190" s="94"/>
      <c r="D190" s="94"/>
    </row>
    <row r="191" spans="1:4" ht="20.399999999999999" x14ac:dyDescent="0.25">
      <c r="A191" s="90"/>
      <c r="B191" s="93"/>
      <c r="C191" s="94"/>
      <c r="D191" s="94"/>
    </row>
    <row r="192" spans="1:4" ht="20.399999999999999" x14ac:dyDescent="0.25">
      <c r="A192" s="90"/>
      <c r="B192" s="93"/>
      <c r="C192" s="94"/>
      <c r="D192" s="94"/>
    </row>
    <row r="193" spans="1:4" ht="20.399999999999999" x14ac:dyDescent="0.25">
      <c r="A193" s="90"/>
      <c r="B193" s="93"/>
      <c r="C193" s="94"/>
      <c r="D193" s="94"/>
    </row>
    <row r="194" spans="1:4" ht="20.399999999999999" x14ac:dyDescent="0.25">
      <c r="A194" s="90"/>
      <c r="B194" s="93"/>
      <c r="C194" s="94"/>
      <c r="D194" s="94"/>
    </row>
    <row r="195" spans="1:4" ht="20.399999999999999" x14ac:dyDescent="0.25">
      <c r="A195" s="90"/>
      <c r="B195" s="93"/>
      <c r="C195" s="94"/>
      <c r="D195" s="94"/>
    </row>
    <row r="196" spans="1:4" ht="20.399999999999999" x14ac:dyDescent="0.25">
      <c r="A196" s="90"/>
      <c r="B196" s="93"/>
      <c r="C196" s="94"/>
      <c r="D196" s="94"/>
    </row>
    <row r="197" spans="1:4" ht="20.399999999999999" x14ac:dyDescent="0.25">
      <c r="A197" s="90"/>
      <c r="B197" s="93"/>
      <c r="C197" s="94"/>
      <c r="D197" s="94"/>
    </row>
    <row r="198" spans="1:4" ht="20.399999999999999" x14ac:dyDescent="0.25">
      <c r="A198" s="90"/>
      <c r="B198" s="93"/>
      <c r="C198" s="94"/>
      <c r="D198" s="94"/>
    </row>
    <row r="199" spans="1:4" ht="20.399999999999999" x14ac:dyDescent="0.25">
      <c r="A199" s="90"/>
      <c r="B199" s="93"/>
      <c r="C199" s="94"/>
      <c r="D199" s="94"/>
    </row>
    <row r="200" spans="1:4" ht="20.399999999999999" x14ac:dyDescent="0.25">
      <c r="A200" s="90"/>
      <c r="B200" s="93"/>
      <c r="C200" s="94"/>
      <c r="D200" s="94"/>
    </row>
    <row r="201" spans="1:4" ht="20.399999999999999" x14ac:dyDescent="0.25">
      <c r="A201" s="90"/>
      <c r="B201" s="93"/>
      <c r="C201" s="94"/>
      <c r="D201" s="94"/>
    </row>
    <row r="202" spans="1:4" ht="20.399999999999999" x14ac:dyDescent="0.25">
      <c r="A202" s="90"/>
      <c r="B202" s="93"/>
      <c r="C202" s="94"/>
      <c r="D202" s="94"/>
    </row>
    <row r="203" spans="1:4" ht="20.399999999999999" x14ac:dyDescent="0.25">
      <c r="A203" s="90"/>
      <c r="B203" s="93"/>
      <c r="C203" s="94"/>
      <c r="D203" s="94"/>
    </row>
    <row r="204" spans="1:4" ht="20.399999999999999" x14ac:dyDescent="0.25">
      <c r="A204" s="90"/>
      <c r="B204" s="93"/>
      <c r="C204" s="94"/>
      <c r="D204" s="94"/>
    </row>
    <row r="205" spans="1:4" ht="20.399999999999999" x14ac:dyDescent="0.25">
      <c r="A205" s="90"/>
      <c r="B205" s="93"/>
      <c r="C205" s="94"/>
      <c r="D205" s="94"/>
    </row>
    <row r="206" spans="1:4" ht="20.399999999999999" x14ac:dyDescent="0.25">
      <c r="A206" s="90"/>
      <c r="B206" s="93"/>
      <c r="C206" s="94"/>
      <c r="D206" s="94"/>
    </row>
    <row r="207" spans="1:4" ht="20.399999999999999" x14ac:dyDescent="0.25">
      <c r="A207" s="90"/>
      <c r="B207" s="93"/>
      <c r="C207" s="94"/>
      <c r="D207" s="94"/>
    </row>
    <row r="208" spans="1:4" x14ac:dyDescent="0.25">
      <c r="A208" s="50"/>
      <c r="B208" s="93"/>
      <c r="C208" s="93"/>
      <c r="D208" s="93"/>
    </row>
    <row r="209" spans="1:8" ht="20.399999999999999" x14ac:dyDescent="0.25">
      <c r="A209" s="50"/>
      <c r="B209" s="95" t="s">
        <v>262</v>
      </c>
      <c r="C209" s="95" t="s">
        <v>263</v>
      </c>
      <c r="D209" s="96" t="s">
        <v>262</v>
      </c>
      <c r="E209" s="96" t="s">
        <v>263</v>
      </c>
    </row>
    <row r="210" spans="1:8" ht="20.399999999999999" x14ac:dyDescent="0.35">
      <c r="A210" s="50"/>
      <c r="B210" s="97" t="s">
        <v>264</v>
      </c>
      <c r="C210" s="97" t="s">
        <v>265</v>
      </c>
      <c r="D210" s="47" t="s">
        <v>264</v>
      </c>
      <c r="F210" s="47" t="str">
        <f>IF(NOT(ISBLANK(D210)),D210,IF(NOT(ISBLANK(E210)),"     "&amp;E210,FALSE))</f>
        <v>Afectación Económica o presupuestal</v>
      </c>
      <c r="G210" s="47" t="s">
        <v>264</v>
      </c>
      <c r="H210" s="47" t="str">
        <f>IF(NOT(ISERROR(MATCH(G210,_xlfn.ANCHORARRAY(B221),0))),F223&amp;"Por favor no seleccionar los criterios de impacto",G210)</f>
        <v>❌Por favor no seleccionar los criterios de impacto</v>
      </c>
    </row>
    <row r="211" spans="1:8" ht="20.399999999999999" x14ac:dyDescent="0.35">
      <c r="A211" s="50"/>
      <c r="B211" s="97" t="s">
        <v>264</v>
      </c>
      <c r="C211" s="97" t="s">
        <v>240</v>
      </c>
      <c r="E211" s="47" t="s">
        <v>265</v>
      </c>
      <c r="F211" s="47" t="str">
        <f t="shared" ref="F211:F221" si="0">IF(NOT(ISBLANK(D211)),D211,IF(NOT(ISBLANK(E211)),"     "&amp;E211,FALSE))</f>
        <v xml:space="preserve">     Afectación menor a 10 SMLMV .</v>
      </c>
    </row>
    <row r="212" spans="1:8" ht="20.399999999999999" x14ac:dyDescent="0.35">
      <c r="A212" s="50"/>
      <c r="B212" s="97" t="s">
        <v>264</v>
      </c>
      <c r="C212" s="97" t="s">
        <v>243</v>
      </c>
      <c r="E212" s="47" t="s">
        <v>240</v>
      </c>
      <c r="F212" s="47" t="str">
        <f t="shared" si="0"/>
        <v xml:space="preserve">     Entre 10 y 50 SMLMV </v>
      </c>
    </row>
    <row r="213" spans="1:8" ht="20.399999999999999" x14ac:dyDescent="0.35">
      <c r="A213" s="50"/>
      <c r="B213" s="97" t="s">
        <v>264</v>
      </c>
      <c r="C213" s="97" t="s">
        <v>247</v>
      </c>
      <c r="E213" s="47" t="s">
        <v>243</v>
      </c>
      <c r="F213" s="47" t="str">
        <f t="shared" si="0"/>
        <v xml:space="preserve">     Entre 50 y 100 SMLMV </v>
      </c>
    </row>
    <row r="214" spans="1:8" ht="20.399999999999999" x14ac:dyDescent="0.35">
      <c r="A214" s="50"/>
      <c r="B214" s="97" t="s">
        <v>264</v>
      </c>
      <c r="C214" s="97" t="s">
        <v>251</v>
      </c>
      <c r="E214" s="47" t="s">
        <v>247</v>
      </c>
      <c r="F214" s="47" t="str">
        <f t="shared" si="0"/>
        <v xml:space="preserve">     Entre 100 y 500 SMLMV </v>
      </c>
    </row>
    <row r="215" spans="1:8" ht="20.399999999999999" x14ac:dyDescent="0.35">
      <c r="A215" s="50"/>
      <c r="B215" s="97" t="s">
        <v>233</v>
      </c>
      <c r="C215" s="97" t="s">
        <v>237</v>
      </c>
      <c r="E215" s="47" t="s">
        <v>251</v>
      </c>
      <c r="F215" s="47" t="str">
        <f t="shared" si="0"/>
        <v xml:space="preserve">     Mayor a 500 SMLMV </v>
      </c>
    </row>
    <row r="216" spans="1:8" ht="20.399999999999999" x14ac:dyDescent="0.35">
      <c r="A216" s="50"/>
      <c r="B216" s="97" t="s">
        <v>233</v>
      </c>
      <c r="C216" s="97" t="s">
        <v>241</v>
      </c>
      <c r="D216" s="47" t="s">
        <v>233</v>
      </c>
      <c r="F216" s="47" t="str">
        <f t="shared" si="0"/>
        <v>Pérdida Reputacional</v>
      </c>
    </row>
    <row r="217" spans="1:8" ht="20.399999999999999" x14ac:dyDescent="0.35">
      <c r="A217" s="50"/>
      <c r="B217" s="97" t="s">
        <v>233</v>
      </c>
      <c r="C217" s="97" t="s">
        <v>244</v>
      </c>
      <c r="E217" s="47" t="s">
        <v>237</v>
      </c>
      <c r="F217" s="47" t="str">
        <f t="shared" si="0"/>
        <v xml:space="preserve">     El riesgo afecta la imagen de alguna área de la organización</v>
      </c>
    </row>
    <row r="218" spans="1:8" ht="20.399999999999999" x14ac:dyDescent="0.35">
      <c r="A218" s="50"/>
      <c r="B218" s="97" t="s">
        <v>233</v>
      </c>
      <c r="C218" s="97" t="s">
        <v>248</v>
      </c>
      <c r="E218" s="47" t="s">
        <v>241</v>
      </c>
      <c r="F218" s="47" t="str">
        <f t="shared" si="0"/>
        <v xml:space="preserve">     El riesgo afecta la imagen de la entidad internamente, de conocimiento general, nivel interno, de junta dircetiva y accionistas y/o de provedores</v>
      </c>
    </row>
    <row r="219" spans="1:8" ht="20.399999999999999" x14ac:dyDescent="0.35">
      <c r="A219" s="50"/>
      <c r="B219" s="97" t="s">
        <v>233</v>
      </c>
      <c r="C219" s="97" t="s">
        <v>252</v>
      </c>
      <c r="E219" s="47" t="s">
        <v>244</v>
      </c>
      <c r="F219" s="47" t="str">
        <f t="shared" si="0"/>
        <v xml:space="preserve">     El riesgo afecta la imagen de la entidad con algunos usuarios de relevancia frente al logro de los objetivos</v>
      </c>
    </row>
    <row r="220" spans="1:8" x14ac:dyDescent="0.25">
      <c r="A220" s="50"/>
      <c r="B220" s="98"/>
      <c r="C220" s="98"/>
      <c r="E220" s="47" t="s">
        <v>248</v>
      </c>
      <c r="F220" s="47" t="str">
        <f t="shared" si="0"/>
        <v xml:space="preserve">     El riesgo afecta la imagen de de la entidad con efecto publicitario sostenido a nivel de sector administrativo, nivel departamental o municipal</v>
      </c>
    </row>
    <row r="221" spans="1:8" x14ac:dyDescent="0.25">
      <c r="A221" s="50"/>
      <c r="B221" s="98" t="str" cm="1">
        <f t="array" ref="B221:B223">_xlfn.UNIQUE(Tabla1[[#All],[Criterios]])</f>
        <v>Criterios</v>
      </c>
      <c r="C221" s="98"/>
      <c r="E221" s="47" t="s">
        <v>252</v>
      </c>
      <c r="F221" s="47" t="str">
        <f t="shared" si="0"/>
        <v xml:space="preserve">     El riesgo afecta la imagen de la entidad a nivel nacional, con efecto publicitarios sostenible a nivel país</v>
      </c>
    </row>
    <row r="222" spans="1:8" x14ac:dyDescent="0.25">
      <c r="A222" s="50"/>
      <c r="B222" s="98" t="str">
        <v>Afectación Económica o presupuestal</v>
      </c>
      <c r="C222" s="98"/>
    </row>
    <row r="223" spans="1:8" x14ac:dyDescent="0.25">
      <c r="B223" s="98" t="str">
        <v>Pérdida Reputacional</v>
      </c>
      <c r="C223" s="98"/>
      <c r="F223" s="4" t="s">
        <v>266</v>
      </c>
    </row>
    <row r="224" spans="1:8" x14ac:dyDescent="0.25">
      <c r="B224" s="99"/>
      <c r="C224" s="99"/>
      <c r="F224" s="4" t="s">
        <v>267</v>
      </c>
    </row>
    <row r="225" spans="2:4" x14ac:dyDescent="0.25">
      <c r="B225" s="99"/>
      <c r="C225" s="99"/>
    </row>
    <row r="226" spans="2:4" x14ac:dyDescent="0.25">
      <c r="B226" s="99"/>
      <c r="C226" s="99"/>
    </row>
    <row r="227" spans="2:4" x14ac:dyDescent="0.25">
      <c r="B227" s="99"/>
      <c r="C227" s="99"/>
      <c r="D227" s="99"/>
    </row>
    <row r="228" spans="2:4" x14ac:dyDescent="0.25">
      <c r="B228" s="99"/>
      <c r="C228" s="99"/>
      <c r="D228" s="99"/>
    </row>
    <row r="229" spans="2:4" x14ac:dyDescent="0.25">
      <c r="B229" s="99"/>
      <c r="C229" s="99"/>
      <c r="D229" s="99"/>
    </row>
    <row r="230" spans="2:4" x14ac:dyDescent="0.25">
      <c r="B230" s="99"/>
      <c r="C230" s="99"/>
      <c r="D230" s="99"/>
    </row>
    <row r="231" spans="2:4" x14ac:dyDescent="0.25">
      <c r="B231" s="99"/>
      <c r="C231" s="99"/>
      <c r="D231" s="99"/>
    </row>
    <row r="232" spans="2:4" x14ac:dyDescent="0.25">
      <c r="B232" s="99"/>
      <c r="C232" s="99"/>
      <c r="D232" s="99"/>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zoomScale="80" zoomScaleNormal="80" workbookViewId="0">
      <selection activeCell="D8" sqref="D8"/>
    </sheetView>
  </sheetViews>
  <sheetFormatPr baseColWidth="10" defaultColWidth="14.33203125" defaultRowHeight="13.2" x14ac:dyDescent="0.25"/>
  <cols>
    <col min="1" max="2" width="14.33203125" style="76"/>
    <col min="3" max="3" width="25.109375" style="76" customWidth="1"/>
    <col min="4" max="4" width="20.33203125" style="76" customWidth="1"/>
    <col min="5" max="5" width="46" style="76" customWidth="1"/>
    <col min="6" max="16384" width="14.33203125" style="76"/>
  </cols>
  <sheetData>
    <row r="1" spans="2:6" ht="24" customHeight="1" thickBot="1" x14ac:dyDescent="0.3">
      <c r="B1" s="387" t="s">
        <v>268</v>
      </c>
      <c r="C1" s="388"/>
      <c r="D1" s="388"/>
      <c r="E1" s="388"/>
      <c r="F1" s="389"/>
    </row>
    <row r="2" spans="2:6" ht="15.6" thickBot="1" x14ac:dyDescent="0.3">
      <c r="B2" s="54"/>
      <c r="C2" s="54"/>
      <c r="D2" s="54"/>
      <c r="E2" s="54"/>
      <c r="F2" s="54"/>
    </row>
    <row r="3" spans="2:6" ht="16.2" thickBot="1" x14ac:dyDescent="0.3">
      <c r="B3" s="391" t="s">
        <v>269</v>
      </c>
      <c r="C3" s="392"/>
      <c r="D3" s="392"/>
      <c r="E3" s="77" t="s">
        <v>270</v>
      </c>
      <c r="F3" s="78" t="s">
        <v>271</v>
      </c>
    </row>
    <row r="4" spans="2:6" ht="30" x14ac:dyDescent="0.25">
      <c r="B4" s="393" t="s">
        <v>272</v>
      </c>
      <c r="C4" s="395" t="s">
        <v>94</v>
      </c>
      <c r="D4" s="79" t="s">
        <v>108</v>
      </c>
      <c r="E4" s="80" t="s">
        <v>273</v>
      </c>
      <c r="F4" s="81">
        <v>0.25</v>
      </c>
    </row>
    <row r="5" spans="2:6" ht="45" x14ac:dyDescent="0.25">
      <c r="B5" s="394"/>
      <c r="C5" s="396"/>
      <c r="D5" s="82" t="s">
        <v>274</v>
      </c>
      <c r="E5" s="83" t="s">
        <v>275</v>
      </c>
      <c r="F5" s="84">
        <v>0.15</v>
      </c>
    </row>
    <row r="6" spans="2:6" ht="45" x14ac:dyDescent="0.25">
      <c r="B6" s="394"/>
      <c r="C6" s="396"/>
      <c r="D6" s="82" t="s">
        <v>276</v>
      </c>
      <c r="E6" s="83" t="s">
        <v>277</v>
      </c>
      <c r="F6" s="84">
        <v>0.1</v>
      </c>
    </row>
    <row r="7" spans="2:6" ht="75" x14ac:dyDescent="0.25">
      <c r="B7" s="394"/>
      <c r="C7" s="396" t="s">
        <v>95</v>
      </c>
      <c r="D7" s="82" t="s">
        <v>278</v>
      </c>
      <c r="E7" s="83" t="s">
        <v>279</v>
      </c>
      <c r="F7" s="84">
        <v>0.25</v>
      </c>
    </row>
    <row r="8" spans="2:6" ht="30" x14ac:dyDescent="0.25">
      <c r="B8" s="394"/>
      <c r="C8" s="396"/>
      <c r="D8" s="82" t="s">
        <v>109</v>
      </c>
      <c r="E8" s="83" t="s">
        <v>280</v>
      </c>
      <c r="F8" s="84">
        <v>0.15</v>
      </c>
    </row>
    <row r="9" spans="2:6" ht="60" x14ac:dyDescent="0.25">
      <c r="B9" s="394" t="s">
        <v>281</v>
      </c>
      <c r="C9" s="396" t="s">
        <v>97</v>
      </c>
      <c r="D9" s="82" t="s">
        <v>282</v>
      </c>
      <c r="E9" s="83" t="s">
        <v>283</v>
      </c>
      <c r="F9" s="85" t="s">
        <v>284</v>
      </c>
    </row>
    <row r="10" spans="2:6" ht="60" x14ac:dyDescent="0.25">
      <c r="B10" s="394"/>
      <c r="C10" s="396"/>
      <c r="D10" s="82" t="s">
        <v>110</v>
      </c>
      <c r="E10" s="83" t="s">
        <v>285</v>
      </c>
      <c r="F10" s="85" t="s">
        <v>284</v>
      </c>
    </row>
    <row r="11" spans="2:6" ht="45" x14ac:dyDescent="0.25">
      <c r="B11" s="394"/>
      <c r="C11" s="396" t="s">
        <v>98</v>
      </c>
      <c r="D11" s="82" t="s">
        <v>111</v>
      </c>
      <c r="E11" s="83" t="s">
        <v>286</v>
      </c>
      <c r="F11" s="85" t="s">
        <v>284</v>
      </c>
    </row>
    <row r="12" spans="2:6" ht="45" x14ac:dyDescent="0.25">
      <c r="B12" s="394"/>
      <c r="C12" s="396"/>
      <c r="D12" s="82" t="s">
        <v>287</v>
      </c>
      <c r="E12" s="83" t="s">
        <v>288</v>
      </c>
      <c r="F12" s="85" t="s">
        <v>284</v>
      </c>
    </row>
    <row r="13" spans="2:6" ht="30" x14ac:dyDescent="0.25">
      <c r="B13" s="394"/>
      <c r="C13" s="396" t="s">
        <v>99</v>
      </c>
      <c r="D13" s="82" t="s">
        <v>112</v>
      </c>
      <c r="E13" s="83" t="s">
        <v>289</v>
      </c>
      <c r="F13" s="85" t="s">
        <v>284</v>
      </c>
    </row>
    <row r="14" spans="2:6" ht="30.6" thickBot="1" x14ac:dyDescent="0.3">
      <c r="B14" s="397"/>
      <c r="C14" s="398"/>
      <c r="D14" s="86" t="s">
        <v>290</v>
      </c>
      <c r="E14" s="87" t="s">
        <v>291</v>
      </c>
      <c r="F14" s="88" t="s">
        <v>284</v>
      </c>
    </row>
    <row r="15" spans="2:6" ht="49.5" customHeight="1" x14ac:dyDescent="0.25">
      <c r="B15" s="390" t="s">
        <v>292</v>
      </c>
      <c r="C15" s="390"/>
      <c r="D15" s="390"/>
      <c r="E15" s="390"/>
      <c r="F15" s="390"/>
    </row>
    <row r="16" spans="2:6" ht="27.45" customHeight="1" x14ac:dyDescent="0.25">
      <c r="B16" s="89"/>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4140625" defaultRowHeight="14.4" x14ac:dyDescent="0.3"/>
  <sheetData>
    <row r="2" spans="2:5" x14ac:dyDescent="0.3">
      <c r="B2" t="s">
        <v>293</v>
      </c>
      <c r="E2" t="s">
        <v>162</v>
      </c>
    </row>
    <row r="3" spans="2:5" x14ac:dyDescent="0.3">
      <c r="B3" t="s">
        <v>294</v>
      </c>
      <c r="E3" t="s">
        <v>101</v>
      </c>
    </row>
    <row r="4" spans="2:5" x14ac:dyDescent="0.3">
      <c r="B4" t="s">
        <v>295</v>
      </c>
      <c r="E4" t="s">
        <v>116</v>
      </c>
    </row>
    <row r="5" spans="2:5" x14ac:dyDescent="0.3">
      <c r="B5" t="s">
        <v>296</v>
      </c>
    </row>
    <row r="8" spans="2:5" x14ac:dyDescent="0.3">
      <c r="B8" t="s">
        <v>297</v>
      </c>
    </row>
    <row r="9" spans="2:5" x14ac:dyDescent="0.3">
      <c r="B9" t="s">
        <v>298</v>
      </c>
    </row>
    <row r="10" spans="2:5" x14ac:dyDescent="0.3">
      <c r="B10" t="s">
        <v>115</v>
      </c>
    </row>
    <row r="13" spans="2:5" x14ac:dyDescent="0.3">
      <c r="B13" t="s">
        <v>299</v>
      </c>
    </row>
    <row r="14" spans="2:5" x14ac:dyDescent="0.3">
      <c r="B14" t="s">
        <v>126</v>
      </c>
    </row>
    <row r="15" spans="2:5" x14ac:dyDescent="0.3">
      <c r="B15" t="s">
        <v>300</v>
      </c>
    </row>
    <row r="16" spans="2:5" x14ac:dyDescent="0.3">
      <c r="B16" t="s">
        <v>301</v>
      </c>
    </row>
    <row r="17" spans="2:2" x14ac:dyDescent="0.3">
      <c r="B17" t="s">
        <v>181</v>
      </c>
    </row>
    <row r="18" spans="2:2" x14ac:dyDescent="0.3">
      <c r="B18" t="s">
        <v>302</v>
      </c>
    </row>
    <row r="19" spans="2:2" x14ac:dyDescent="0.3">
      <c r="B19" t="s">
        <v>105</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4140625" defaultRowHeight="13.8" x14ac:dyDescent="0.3"/>
  <cols>
    <col min="1" max="1" width="32.88671875" style="1" customWidth="1"/>
    <col min="2" max="16384" width="11.44140625" style="1"/>
  </cols>
  <sheetData>
    <row r="3" spans="1:1" x14ac:dyDescent="0.3">
      <c r="A3" s="2" t="s">
        <v>108</v>
      </c>
    </row>
    <row r="4" spans="1:1" x14ac:dyDescent="0.3">
      <c r="A4" s="2" t="s">
        <v>274</v>
      </c>
    </row>
    <row r="5" spans="1:1" x14ac:dyDescent="0.3">
      <c r="A5" s="2" t="s">
        <v>276</v>
      </c>
    </row>
    <row r="6" spans="1:1" x14ac:dyDescent="0.3">
      <c r="A6" s="2" t="s">
        <v>278</v>
      </c>
    </row>
    <row r="7" spans="1:1" x14ac:dyDescent="0.3">
      <c r="A7" s="2" t="s">
        <v>109</v>
      </c>
    </row>
    <row r="8" spans="1:1" x14ac:dyDescent="0.3">
      <c r="A8" s="2" t="s">
        <v>282</v>
      </c>
    </row>
    <row r="9" spans="1:1" x14ac:dyDescent="0.3">
      <c r="A9" s="2" t="s">
        <v>110</v>
      </c>
    </row>
    <row r="10" spans="1:1" x14ac:dyDescent="0.3">
      <c r="A10" s="2" t="s">
        <v>111</v>
      </c>
    </row>
    <row r="11" spans="1:1" x14ac:dyDescent="0.3">
      <c r="A11" s="2" t="s">
        <v>287</v>
      </c>
    </row>
    <row r="12" spans="1:1" x14ac:dyDescent="0.3">
      <c r="A12" s="2" t="s">
        <v>303</v>
      </c>
    </row>
    <row r="13" spans="1:1" x14ac:dyDescent="0.3">
      <c r="A13" s="2" t="s">
        <v>304</v>
      </c>
    </row>
    <row r="14" spans="1:1" x14ac:dyDescent="0.3">
      <c r="A14" s="2" t="s">
        <v>305</v>
      </c>
    </row>
    <row r="16" spans="1:1" x14ac:dyDescent="0.3">
      <c r="A16" s="2" t="s">
        <v>306</v>
      </c>
    </row>
    <row r="17" spans="1:1" x14ac:dyDescent="0.3">
      <c r="A17" s="2" t="s">
        <v>293</v>
      </c>
    </row>
    <row r="18" spans="1:1" x14ac:dyDescent="0.3">
      <c r="A18" s="2" t="s">
        <v>294</v>
      </c>
    </row>
    <row r="20" spans="1:1" x14ac:dyDescent="0.3">
      <c r="A20" s="2" t="s">
        <v>298</v>
      </c>
    </row>
    <row r="21" spans="1:1" x14ac:dyDescent="0.3">
      <c r="A21" s="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lpstr>'Mapa final'!Área_de_impresión</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Oficina de MIPG</cp:lastModifiedBy>
  <cp:revision/>
  <cp:lastPrinted>2025-01-21T02:47:22Z</cp:lastPrinted>
  <dcterms:created xsi:type="dcterms:W3CDTF">2020-03-24T23:12:47Z</dcterms:created>
  <dcterms:modified xsi:type="dcterms:W3CDTF">2025-07-22T15:25:15Z</dcterms:modified>
  <cp:category/>
  <cp:contentStatus/>
</cp:coreProperties>
</file>